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480" windowHeight="10830" firstSheet="2" activeTab="4"/>
  </bookViews>
  <sheets>
    <sheet name="Raw Data" sheetId="1" r:id="rId1"/>
    <sheet name="Applied Piston Raw Data" sheetId="2" r:id="rId2"/>
    <sheet name="Measured Error Raw Data" sheetId="3" r:id="rId3"/>
    <sheet name="Residual Error Raw Data" sheetId="4" r:id="rId4"/>
    <sheet name="Surface Chart, Applied Piston" sheetId="5" r:id="rId5"/>
    <sheet name="Surface Chart, Init. Piston Err" sheetId="6" r:id="rId6"/>
    <sheet name="Surface Chart, Residual Error" sheetId="7" r:id="rId7"/>
  </sheets>
  <definedNames>
    <definedName name="e_1">'Raw Data'!$AB$153</definedName>
    <definedName name="e_10">'Raw Data'!$AB$141</definedName>
    <definedName name="e_11">'Raw Data'!$AB$145</definedName>
    <definedName name="e_12">'Raw Data'!$AB$173</definedName>
    <definedName name="e_13">'Raw Data'!$AB$163</definedName>
    <definedName name="e_14">'Raw Data'!$AB$155</definedName>
    <definedName name="e_15">'Raw Data'!$AB$139</definedName>
    <definedName name="e_16">'Raw Data'!$AB$147</definedName>
    <definedName name="e_17">'Raw Data'!$AB$171</definedName>
    <definedName name="e_18">'Raw Data'!$AB$157</definedName>
    <definedName name="e_19">'Raw Data'!$AB$117</definedName>
    <definedName name="e_2">'Raw Data'!$AB$179</definedName>
    <definedName name="e_20">'Raw Data'!$AB$137</definedName>
    <definedName name="e_21">'Raw Data'!$AB$169</definedName>
    <definedName name="e_22">'Raw Data'!$AB$161</definedName>
    <definedName name="e_23">'Raw Data'!$AB$95</definedName>
    <definedName name="e_24">'Raw Data'!$AB$121</definedName>
    <definedName name="e_25">'Raw Data'!$AB$113</definedName>
    <definedName name="e_26">'Raw Data'!$AB$135</definedName>
    <definedName name="e_27">'Raw Data'!$AB$167</definedName>
    <definedName name="e_28">'Raw Data'!$AB$91</definedName>
    <definedName name="e_29">'Raw Data'!$AB$97</definedName>
    <definedName name="e_3">'Raw Data'!$AB$151</definedName>
    <definedName name="e_30">'Raw Data'!$AB$115</definedName>
    <definedName name="e_31">'Raw Data'!$AB$107</definedName>
    <definedName name="e_32">'Raw Data'!$AB$5</definedName>
    <definedName name="e_33">'Raw Data'!$AB$87</definedName>
    <definedName name="e_34">'Raw Data'!$AB$93</definedName>
    <definedName name="e_35">'Raw Data'!$AB$123</definedName>
    <definedName name="e_36">'Raw Data'!$AB$111</definedName>
    <definedName name="e_37">'Raw Data'!$AB$3</definedName>
    <definedName name="e_38">'Raw Data'!$AB$7</definedName>
    <definedName name="e_39">'Raw Data'!$AB$89</definedName>
    <definedName name="e_4">'Raw Data'!$AB$177</definedName>
    <definedName name="e_40">'Raw Data'!$AB$101</definedName>
    <definedName name="e_41">'Raw Data'!$AB$125</definedName>
    <definedName name="e_42">'Raw Data'!$AB$109</definedName>
    <definedName name="e_44">'Raw Data'!$AB$79</definedName>
    <definedName name="e_45">'Raw Data'!$AB$103</definedName>
    <definedName name="e_46">'Raw Data'!$AB$133</definedName>
    <definedName name="e_47">'Raw Data'!$AB$127</definedName>
    <definedName name="e_48">'Raw Data'!$AB$13</definedName>
    <definedName name="e_49">'Raw Data'!$AB$9</definedName>
    <definedName name="e_5">'Raw Data'!$AB$165</definedName>
    <definedName name="e_50">'Raw Data'!$AB$81</definedName>
    <definedName name="e_51">'Raw Data'!$AB$105</definedName>
    <definedName name="e_52">'Raw Data'!$AB$129</definedName>
    <definedName name="e_53">'Raw Data'!$AB$15</definedName>
    <definedName name="e_54">'Raw Data'!$AB$11</definedName>
    <definedName name="e_55">'Raw Data'!$AB$53</definedName>
    <definedName name="e_56">'Raw Data'!$AB$83</definedName>
    <definedName name="e_57">'Raw Data'!$AB$131</definedName>
    <definedName name="e_58">'Raw Data'!$AB$19</definedName>
    <definedName name="e_59">'Raw Data'!$AB$17</definedName>
    <definedName name="e_6">'Raw Data'!$AB$143</definedName>
    <definedName name="e_60">'Raw Data'!$AB$51</definedName>
    <definedName name="e_61">'Raw Data'!$AB$57</definedName>
    <definedName name="e_62">'Raw Data'!$AB$85</definedName>
    <definedName name="e_63">'Raw Data'!$AB$23</definedName>
    <definedName name="e_64">'Raw Data'!$AB$21</definedName>
    <definedName name="e_65">'Raw Data'!$AB$37</definedName>
    <definedName name="e_66">'Raw Data'!$AB$55</definedName>
    <definedName name="e_67">'Raw Data'!$AB$61</definedName>
    <definedName name="e_68">'Raw Data'!$AB$25</definedName>
    <definedName name="e_69">'Raw Data'!$AB$35</definedName>
    <definedName name="e_7">'Raw Data'!$AB$149</definedName>
    <definedName name="e_70">'Raw Data'!$AB$71</definedName>
    <definedName name="e_71">'Raw Data'!$AB$59</definedName>
    <definedName name="e_72">'Raw Data'!$AB$29</definedName>
    <definedName name="e_73">'Raw Data'!$AB$33</definedName>
    <definedName name="e_74">'Raw Data'!$AB$39</definedName>
    <definedName name="e_75">'Raw Data'!$AB$69</definedName>
    <definedName name="e_76">'Raw Data'!$AB$63</definedName>
    <definedName name="e_77">'Raw Data'!$AB$31</definedName>
    <definedName name="e_78">'Raw Data'!$AB$41</definedName>
    <definedName name="e_79">'Raw Data'!$AB$73</definedName>
    <definedName name="e_8">'Raw Data'!$AB$175</definedName>
    <definedName name="e_80">'Raw Data'!$AB$67</definedName>
    <definedName name="e_81">'Raw Data'!$AB$43</definedName>
    <definedName name="e_82">'Raw Data'!$AB$47</definedName>
    <definedName name="e_83">'Raw Data'!$AB$77</definedName>
    <definedName name="e_84">'Raw Data'!$AB$45</definedName>
    <definedName name="e_85">'Raw Data'!$AB$75</definedName>
    <definedName name="e_86">'Raw Data'!$AB$49</definedName>
    <definedName name="e_87">'Raw Data'!$AB$27</definedName>
    <definedName name="e_88">'Raw Data'!$AB$119</definedName>
    <definedName name="e_89">'Raw Data'!$AB$181</definedName>
    <definedName name="e_9">'Raw Data'!$AB$159</definedName>
    <definedName name="e_90">'Raw Data'!$AB$99</definedName>
    <definedName name="e_91">'Raw Data'!$AB$65</definedName>
    <definedName name="eight">'Measured Error Raw Data'!$K$43</definedName>
    <definedName name="eighteen">'Measured Error Raw Data'!$M$41</definedName>
    <definedName name="eighty">'Measured Error Raw Data'!$M$29</definedName>
    <definedName name="eightyeight">'Measured Error Raw Data'!$E$41</definedName>
    <definedName name="eightyfive">'Measured Error Raw Data'!$K$27</definedName>
    <definedName name="eightyfour">'Measured Error Raw Data'!$I$27</definedName>
    <definedName name="eightynine">'Measured Error Raw Data'!$J$46</definedName>
    <definedName name="eightyone">'Measured Error Raw Data'!$H$28</definedName>
    <definedName name="eightyseven">'Measured Error Raw Data'!$E$31</definedName>
    <definedName name="eightysix">'Measured Error Raw Data'!$J$26</definedName>
    <definedName name="eightythree">'Measured Error Raw Data'!$L$28</definedName>
    <definedName name="eightytwo">'Measured Error Raw Data'!$J$28</definedName>
    <definedName name="eleven">'Measured Error Raw Data'!$H$42</definedName>
    <definedName name="fifteen">'Measured Error Raw Data'!$G$41</definedName>
    <definedName name="fifty">'Measured Error Raw Data'!$M$35</definedName>
    <definedName name="fiftyeight">'Measured Error Raw Data'!$G$33</definedName>
    <definedName name="fiftyfive">'Measured Error Raw Data'!$L$34</definedName>
    <definedName name="fiftyfour">'Measured Error Raw Data'!$J$34</definedName>
    <definedName name="fiftynine">'Measured Error Raw Data'!$I$33</definedName>
    <definedName name="fiftyone">'Measured Error Raw Data'!$O$35</definedName>
    <definedName name="fiftyseven">'Measured Error Raw Data'!$E$33</definedName>
    <definedName name="fiftysix">'Measured Error Raw Data'!$N$34</definedName>
    <definedName name="fiftythree">'Measured Error Raw Data'!$H$34</definedName>
    <definedName name="fiftytwo">'Measured Error Raw Data'!$F$34</definedName>
    <definedName name="five">'Measured Error Raw Data'!$L$44</definedName>
    <definedName name="forty">'Measured Error Raw Data'!$O$37</definedName>
    <definedName name="fortyeight">'Measured Error Raw Data'!$I$35</definedName>
    <definedName name="fortyfive">'Measured Error Raw Data'!$N$36</definedName>
    <definedName name="fortyfour">'Measured Error Raw Data'!$L$36</definedName>
    <definedName name="fortynine">'Measured Error Raw Data'!$K$35</definedName>
    <definedName name="fortyone">'Measured Error Raw Data'!$F$36</definedName>
    <definedName name="fortyseven">'Measured Error Raw Data'!$G$35</definedName>
    <definedName name="fortysix">'Measured Error Raw Data'!$E$35</definedName>
    <definedName name="fortythree">'Measured Error Raw Data'!$J$36</definedName>
    <definedName name="fortytwo">'Measured Error Raw Data'!$H$36</definedName>
    <definedName name="four">'Measured Error Raw Data'!$J$44</definedName>
    <definedName name="fourteen">'Measured Error Raw Data'!$N$42</definedName>
    <definedName name="nine">'Measured Error Raw Data'!$M$43</definedName>
    <definedName name="nineteen">'Measured Error Raw Data'!$F$40</definedName>
    <definedName name="ninety">'Measured Error Raw Data'!$O$41</definedName>
    <definedName name="ninetyone">'Measured Error Raw Data'!$O$31</definedName>
    <definedName name="one">'Measured Error Raw Data'!$I$45</definedName>
    <definedName name="p_1">'Raw Data'!$AC$153</definedName>
    <definedName name="p_10">'Raw Data'!$AC$141</definedName>
    <definedName name="p_11">'Raw Data'!$AC$145</definedName>
    <definedName name="p_12">'Raw Data'!$AC$173</definedName>
    <definedName name="p_13">'Raw Data'!$AC$163</definedName>
    <definedName name="p_14">'Raw Data'!$AC$155</definedName>
    <definedName name="p_15">'Raw Data'!$AC$139</definedName>
    <definedName name="p_16">'Raw Data'!$AC$147</definedName>
    <definedName name="p_17">'Raw Data'!$AC$171</definedName>
    <definedName name="p_18">'Raw Data'!$AC$157</definedName>
    <definedName name="p_19">'Raw Data'!$AC$117</definedName>
    <definedName name="p_2">'Raw Data'!$AC$179</definedName>
    <definedName name="p_20">'Raw Data'!$AC$137</definedName>
    <definedName name="p_21">'Raw Data'!$AC$169</definedName>
    <definedName name="p_22">'Raw Data'!$AC$161</definedName>
    <definedName name="p_23">'Raw Data'!$AC$95</definedName>
    <definedName name="p_24">'Raw Data'!$AC$121</definedName>
    <definedName name="p_25">'Raw Data'!$AC$113</definedName>
    <definedName name="p_26">'Raw Data'!$AC$135</definedName>
    <definedName name="p_27">'Raw Data'!$AC$167</definedName>
    <definedName name="p_28">'Raw Data'!$AC$91</definedName>
    <definedName name="p_29">'Raw Data'!$AC$97</definedName>
    <definedName name="p_3">'Raw Data'!$AC$151</definedName>
    <definedName name="p_30">'Raw Data'!$AC$115</definedName>
    <definedName name="p_31">'Raw Data'!$AC$107</definedName>
    <definedName name="p_32">'Raw Data'!$AC$5</definedName>
    <definedName name="p_33">'Raw Data'!$AC$87</definedName>
    <definedName name="p_34">'Raw Data'!$AC$93</definedName>
    <definedName name="p_35">'Raw Data'!$AC$123</definedName>
    <definedName name="p_36">'Raw Data'!$AC$111</definedName>
    <definedName name="p_37">'Raw Data'!$AC$3</definedName>
    <definedName name="p_38">'Raw Data'!$AC$7</definedName>
    <definedName name="p_39">'Raw Data'!$AC$89</definedName>
    <definedName name="p_4">'Raw Data'!$AC$177</definedName>
    <definedName name="p_40">'Raw Data'!$AC$101</definedName>
    <definedName name="p_41">'Raw Data'!$AC$125</definedName>
    <definedName name="p_42">'Raw Data'!$AC$109</definedName>
    <definedName name="p_44">'Raw Data'!$AC$79</definedName>
    <definedName name="p_45">'Raw Data'!$AC$103</definedName>
    <definedName name="p_46">'Raw Data'!$AC$133</definedName>
    <definedName name="p_47">'Raw Data'!$AC$127</definedName>
    <definedName name="p_48">'Raw Data'!$AC$13</definedName>
    <definedName name="p_49">'Raw Data'!$AC$9</definedName>
    <definedName name="p_5">'Raw Data'!$AC$165</definedName>
    <definedName name="p_50">'Raw Data'!$AC$81</definedName>
    <definedName name="p_51">'Raw Data'!$AC$105</definedName>
    <definedName name="p_52">'Raw Data'!$AC$129</definedName>
    <definedName name="p_53">'Raw Data'!$AC$15</definedName>
    <definedName name="p_54">'Raw Data'!$AC$11</definedName>
    <definedName name="p_55">'Raw Data'!$AC$53</definedName>
    <definedName name="p_56">'Raw Data'!$AC$83</definedName>
    <definedName name="p_57">'Raw Data'!$AC$131</definedName>
    <definedName name="p_58">'Raw Data'!$AC$19</definedName>
    <definedName name="p_59">'Raw Data'!$AC$17</definedName>
    <definedName name="p_6">'Raw Data'!$AC$143</definedName>
    <definedName name="p_60">'Raw Data'!$AC$51</definedName>
    <definedName name="p_61">'Raw Data'!$AC$57</definedName>
    <definedName name="p_62">'Raw Data'!$AC$85</definedName>
    <definedName name="p_63">'Raw Data'!$AC$23</definedName>
    <definedName name="p_64">'Raw Data'!$AC$21</definedName>
    <definedName name="p_65">'Raw Data'!$AC$37</definedName>
    <definedName name="p_66">'Raw Data'!$AC$55</definedName>
    <definedName name="p_67">'Raw Data'!$AC$61</definedName>
    <definedName name="p_68">'Raw Data'!$AC$25</definedName>
    <definedName name="p_69">'Raw Data'!$AC$35</definedName>
    <definedName name="p_7">'Raw Data'!$AC$149</definedName>
    <definedName name="p_70">'Raw Data'!$AC$71</definedName>
    <definedName name="p_71">'Raw Data'!$AC$59</definedName>
    <definedName name="p_72">'Raw Data'!$AC$29</definedName>
    <definedName name="p_73">'Raw Data'!$AC$33</definedName>
    <definedName name="p_74">'Raw Data'!$AC$39</definedName>
    <definedName name="p_75">'Raw Data'!$AC$69</definedName>
    <definedName name="p_76">'Raw Data'!$AC$63</definedName>
    <definedName name="p_77">'Raw Data'!$AC$31</definedName>
    <definedName name="p_78">'Raw Data'!$AC$41</definedName>
    <definedName name="p_79">'Raw Data'!$AC$73</definedName>
    <definedName name="p_8">'Raw Data'!$AC$175</definedName>
    <definedName name="p_80">'Raw Data'!$AC$67</definedName>
    <definedName name="p_81">'Raw Data'!$AC$43</definedName>
    <definedName name="p_82">'Raw Data'!$AC$47</definedName>
    <definedName name="p_83">'Raw Data'!$AC$77</definedName>
    <definedName name="p_84">'Raw Data'!$AC$45</definedName>
    <definedName name="p_84\">'Raw Data'!$AC$45</definedName>
    <definedName name="p_85">'Raw Data'!$AC$75</definedName>
    <definedName name="p_86">'Raw Data'!$AC$49</definedName>
    <definedName name="p_87">'Raw Data'!$AC$27</definedName>
    <definedName name="p_88">'Raw Data'!$AC$119</definedName>
    <definedName name="p_89">'Raw Data'!$AC$181</definedName>
    <definedName name="p_9">'Raw Data'!$AC$159</definedName>
    <definedName name="p_90">'Raw Data'!$AC$99</definedName>
    <definedName name="p_91">'Raw Data'!$AC$65</definedName>
    <definedName name="r_1">'Raw Data'!$AD$153</definedName>
    <definedName name="r_10">'Raw Data'!$AD$141</definedName>
    <definedName name="r_11">'Raw Data'!$AD$145</definedName>
    <definedName name="r_12">'Raw Data'!$AD$173</definedName>
    <definedName name="r_13">'Raw Data'!$AD$163</definedName>
    <definedName name="r_14">'Raw Data'!$AD$155</definedName>
    <definedName name="r_15">'Raw Data'!$AD$139</definedName>
    <definedName name="r_16">'Raw Data'!$AD$147</definedName>
    <definedName name="r_17">'Raw Data'!$AD$171</definedName>
    <definedName name="r_18">'Raw Data'!$AD$157</definedName>
    <definedName name="r_19">'Raw Data'!$AD$117</definedName>
    <definedName name="r_2">'Raw Data'!$AD$179</definedName>
    <definedName name="r_20">'Raw Data'!$AD$137</definedName>
    <definedName name="r_21">'Raw Data'!$AD$169</definedName>
    <definedName name="r_22">'Raw Data'!$AD$161</definedName>
    <definedName name="r_23">'Raw Data'!$AD$95</definedName>
    <definedName name="r_24">'Raw Data'!$AD$121</definedName>
    <definedName name="r_25">'Raw Data'!$AD$113</definedName>
    <definedName name="r_26">'Raw Data'!$AD$135</definedName>
    <definedName name="r_27">'Raw Data'!$AD$167</definedName>
    <definedName name="r_28">'Raw Data'!$AD$91</definedName>
    <definedName name="r_29">'Raw Data'!$AD$97</definedName>
    <definedName name="r_3">'Raw Data'!$AD$151</definedName>
    <definedName name="r_30">'Raw Data'!$AD$115</definedName>
    <definedName name="r_31">'Raw Data'!$AD$107</definedName>
    <definedName name="r_32">'Raw Data'!$AD$5</definedName>
    <definedName name="r_33">'Raw Data'!$AD$87</definedName>
    <definedName name="r_34">'Raw Data'!$AD$93</definedName>
    <definedName name="r_35">'Raw Data'!$AD$123</definedName>
    <definedName name="r_36">'Raw Data'!$AD$111</definedName>
    <definedName name="r_37">'Raw Data'!$AD$3</definedName>
    <definedName name="r_38">'Raw Data'!$AD$7</definedName>
    <definedName name="r_39">'Raw Data'!$AD$89</definedName>
    <definedName name="r_4">'Raw Data'!$AD$177</definedName>
    <definedName name="r_40">'Raw Data'!$AD$101</definedName>
    <definedName name="r_41">'Raw Data'!$AD$125</definedName>
    <definedName name="r_42">'Raw Data'!$AD$109</definedName>
    <definedName name="r_44">'Raw Data'!$AD$79</definedName>
    <definedName name="r_45">'Raw Data'!$AD$103</definedName>
    <definedName name="r_46">'Raw Data'!$AD$133</definedName>
    <definedName name="r_47">'Raw Data'!$AD$127</definedName>
    <definedName name="r_48">'Raw Data'!$AD$13</definedName>
    <definedName name="r_49">'Raw Data'!$AD$9</definedName>
    <definedName name="r_5">'Raw Data'!$AD$165</definedName>
    <definedName name="r_50">'Raw Data'!$AD$81</definedName>
    <definedName name="r_51">'Raw Data'!$AD$105</definedName>
    <definedName name="r_52">'Raw Data'!$AD$129</definedName>
    <definedName name="r_53">'Raw Data'!$AD$15</definedName>
    <definedName name="r_54">'Raw Data'!$AD$11</definedName>
    <definedName name="r_55">'Raw Data'!$AD$53</definedName>
    <definedName name="r_56">'Raw Data'!$AD$83</definedName>
    <definedName name="r_57">'Raw Data'!$AD$131</definedName>
    <definedName name="r_58">'Raw Data'!$AD$19</definedName>
    <definedName name="r_59">'Raw Data'!$AD$17</definedName>
    <definedName name="r_6">'Raw Data'!$AD$143</definedName>
    <definedName name="r_60">'Raw Data'!$AD$51</definedName>
    <definedName name="r_61">'Raw Data'!$AD$57</definedName>
    <definedName name="r_62">'Raw Data'!$AD$85</definedName>
    <definedName name="r_63">'Raw Data'!$AD$23</definedName>
    <definedName name="r_64">'Raw Data'!$AD$21</definedName>
    <definedName name="r_65">'Raw Data'!$AD$37</definedName>
    <definedName name="r_66">'Raw Data'!$AD$55</definedName>
    <definedName name="r_67">'Raw Data'!$AD$61</definedName>
    <definedName name="r_68">'Raw Data'!$AD$25</definedName>
    <definedName name="r_69">'Raw Data'!$AD$35</definedName>
    <definedName name="r_7">'Raw Data'!$AD$149</definedName>
    <definedName name="r_70">'Raw Data'!$AD$71</definedName>
    <definedName name="r_71">'Raw Data'!$AD$59</definedName>
    <definedName name="r_72">'Raw Data'!$AD$29</definedName>
    <definedName name="r_73">'Raw Data'!$AD$33</definedName>
    <definedName name="r_74">'Raw Data'!$AD$39</definedName>
    <definedName name="r_75">'Raw Data'!$AD$69</definedName>
    <definedName name="r_76">'Raw Data'!$AD$63</definedName>
    <definedName name="r_77">'Raw Data'!$AD$31</definedName>
    <definedName name="r_78">'Raw Data'!$AD$41</definedName>
    <definedName name="r_79">'Raw Data'!$AD$73</definedName>
    <definedName name="r_8">'Raw Data'!$AD$175</definedName>
    <definedName name="r_80">'Raw Data'!$AD$67</definedName>
    <definedName name="r_81">'Raw Data'!$AD$43</definedName>
    <definedName name="r_82">'Raw Data'!$AD$47</definedName>
    <definedName name="r_83">'Raw Data'!$AD$77</definedName>
    <definedName name="r_84">'Raw Data'!$AD$45</definedName>
    <definedName name="r_85">'Raw Data'!$AD$75</definedName>
    <definedName name="r_86">'Raw Data'!$AD$49</definedName>
    <definedName name="r_87">'Raw Data'!$AD$27</definedName>
    <definedName name="r_88">'Raw Data'!$AD$119</definedName>
    <definedName name="r_89">'Raw Data'!$AD$181</definedName>
    <definedName name="r_9">'Raw Data'!$AD$159</definedName>
    <definedName name="r_90">'Raw Data'!$AD$99</definedName>
    <definedName name="r_91">'Raw Data'!$AD$65</definedName>
    <definedName name="seven">'Measured Error Raw Data'!$I$43</definedName>
    <definedName name="seventeen">'Measured Error Raw Data'!$K$41</definedName>
    <definedName name="seventy">'Measured Error Raw Data'!$K$31</definedName>
    <definedName name="seventyeight">'Measured Error Raw Data'!$I$29</definedName>
    <definedName name="seventyfive">'Measured Error Raw Data'!$L$30</definedName>
    <definedName name="seventyfour">'Measured Error Raw Data'!$J$30</definedName>
    <definedName name="seventynine">'Measured Error Raw Data'!$K$29</definedName>
    <definedName name="seventyone">'Measured Error Raw Data'!$M$31</definedName>
    <definedName name="seventyseven">'Measured Error Raw Data'!$G$29</definedName>
    <definedName name="seventysix">'Measured Error Raw Data'!$N$30</definedName>
    <definedName name="seventythree">'Measured Error Raw Data'!$H$30</definedName>
    <definedName name="seventytwo">'Measured Error Raw Data'!$F$30</definedName>
    <definedName name="six">'Measured Error Raw Data'!$G$43</definedName>
    <definedName name="sixteen">'Measured Error Raw Data'!$I$41</definedName>
    <definedName name="sixty">'Measured Error Raw Data'!$K$33</definedName>
    <definedName name="sixtyeight">'Measured Error Raw Data'!$G$31</definedName>
    <definedName name="sixtyfive">'Measured Error Raw Data'!$J$32</definedName>
    <definedName name="sixtyfour">'Measured Error Raw Data'!$H$32</definedName>
    <definedName name="sixtynine">'Measured Error Raw Data'!$I$31</definedName>
    <definedName name="sixtyone">'Measured Error Raw Data'!$M$33</definedName>
    <definedName name="sixtyseven">'Measured Error Raw Data'!$N$32</definedName>
    <definedName name="sixtysix">'Measured Error Raw Data'!$L$32</definedName>
    <definedName name="sixtythree">'Measured Error Raw Data'!$F$32</definedName>
    <definedName name="sixtytwo">'Measured Error Raw Data'!$O$33</definedName>
    <definedName name="ten">'Measured Error Raw Data'!$F$42</definedName>
    <definedName name="thirteen">'Measured Error Raw Data'!$L$42</definedName>
    <definedName name="thirty">'Measured Error Raw Data'!$F$38</definedName>
    <definedName name="thirtyeight">'Measured Error Raw Data'!$K$37</definedName>
    <definedName name="thirtyfive">'Measured Error Raw Data'!$E$37</definedName>
    <definedName name="thirtyfour">'Measured Error Raw Data'!$N$38</definedName>
    <definedName name="thirtynine">'Measured Error Raw Data'!$M$37</definedName>
    <definedName name="thirtyone">'Measured Error Raw Data'!$H$38</definedName>
    <definedName name="thirtyseven">'Measured Error Raw Data'!$I$37</definedName>
    <definedName name="thirtysix">'Measured Error Raw Data'!$G$37</definedName>
    <definedName name="thirtythree">'Measured Error Raw Data'!$L$38</definedName>
    <definedName name="thirtytwo">'Measured Error Raw Data'!$J$38</definedName>
    <definedName name="three">'Measured Error Raw Data'!$H$44</definedName>
    <definedName name="twelve">'Measured Error Raw Data'!$J$42</definedName>
    <definedName name="twenty">'Measured Error Raw Data'!$H$40</definedName>
    <definedName name="twentyeight">'Measured Error Raw Data'!$M$39</definedName>
    <definedName name="twentyfive">'Measured Error Raw Data'!$G$39</definedName>
    <definedName name="twentyfour">'Measured Error Raw Data'!$E$39</definedName>
    <definedName name="twentynine">'Measured Error Raw Data'!$O$39</definedName>
    <definedName name="twentyone">'Measured Error Raw Data'!$J$40</definedName>
    <definedName name="twentyseven">'Measured Error Raw Data'!$K$39</definedName>
    <definedName name="twentysix">'Measured Error Raw Data'!$I$39</definedName>
    <definedName name="twentythree">'Measured Error Raw Data'!$N$40</definedName>
    <definedName name="twentytwo">'Measured Error Raw Data'!$L$40</definedName>
    <definedName name="two">'Measured Error Raw Data'!$K$45</definedName>
  </definedNames>
  <calcPr fullCalcOnLoad="1"/>
</workbook>
</file>

<file path=xl/sharedStrings.xml><?xml version="1.0" encoding="utf-8"?>
<sst xmlns="http://schemas.openxmlformats.org/spreadsheetml/2006/main" count="33" uniqueCount="24">
  <si>
    <t>average</t>
  </si>
  <si>
    <t>notes</t>
  </si>
  <si>
    <t>Measured Error</t>
  </si>
  <si>
    <t>Applied Piston</t>
  </si>
  <si>
    <t>Residual Error</t>
  </si>
  <si>
    <t>Measure</t>
  </si>
  <si>
    <t>Base</t>
  </si>
  <si>
    <t>1st Measurement</t>
  </si>
  <si>
    <t>2nd Measurement</t>
  </si>
  <si>
    <t>3rd Measurement</t>
  </si>
  <si>
    <t>Total Error</t>
  </si>
  <si>
    <t>Total Applied Piston</t>
  </si>
  <si>
    <t>4th Measurement</t>
  </si>
  <si>
    <t>1st</t>
  </si>
  <si>
    <t>2nd</t>
  </si>
  <si>
    <t>3rd</t>
  </si>
  <si>
    <t>4th</t>
  </si>
  <si>
    <t>Measured Error, Each Mirror</t>
  </si>
  <si>
    <t>Applied Piston, Each Mirror</t>
  </si>
  <si>
    <t>Residual Error, Each Mirror</t>
  </si>
  <si>
    <t>MIN</t>
  </si>
  <si>
    <t>Match</t>
  </si>
  <si>
    <t>ISNA</t>
  </si>
  <si>
    <t>Cumulative Error, Each Mirror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</si>
</sst>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</numFmts>
  <fonts count="8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2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1" fillId="0" borderId="8" xfId="0" applyBorder="1" applyAlignment="1">
      <alignment horizontal="center"/>
    </xf>
    <xf numFmtId="0" fontId="1" fillId="0" borderId="2" xfId="0" applyBorder="1" applyAlignment="1">
      <alignment horizontal="center"/>
    </xf>
    <xf numFmtId="0" fontId="1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 horizontal="center" wrapText="1"/>
    </xf>
    <xf numFmtId="173" fontId="1" fillId="0" borderId="7" xfId="0" applyNumberFormat="1" applyBorder="1" applyAlignment="1">
      <alignment horizontal="center"/>
    </xf>
    <xf numFmtId="173" fontId="1" fillId="0" borderId="8" xfId="0" applyNumberFormat="1" applyBorder="1" applyAlignment="1">
      <alignment horizontal="center"/>
    </xf>
    <xf numFmtId="173" fontId="0" fillId="0" borderId="8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1" fillId="0" borderId="2" xfId="0" applyNumberFormat="1" applyBorder="1" applyAlignment="1">
      <alignment horizontal="center"/>
    </xf>
    <xf numFmtId="173" fontId="1" fillId="0" borderId="1" xfId="0" applyNumberFormat="1" applyBorder="1" applyAlignment="1">
      <alignment horizontal="center"/>
    </xf>
    <xf numFmtId="173" fontId="1" fillId="0" borderId="10" xfId="0" applyNumberFormat="1" applyBorder="1" applyAlignment="1">
      <alignment horizontal="center"/>
    </xf>
    <xf numFmtId="173" fontId="0" fillId="0" borderId="2" xfId="0" applyNumberFormat="1" applyBorder="1" applyAlignment="1">
      <alignment horizontal="center"/>
    </xf>
    <xf numFmtId="173" fontId="0" fillId="0" borderId="1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173" fontId="1" fillId="0" borderId="7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1" fillId="0" borderId="7" xfId="0" applyNumberFormat="1" applyBorder="1" applyAlignment="1">
      <alignment horizontal="left"/>
    </xf>
    <xf numFmtId="173" fontId="1" fillId="0" borderId="10" xfId="0" applyNumberFormat="1" applyFont="1" applyBorder="1" applyAlignment="1">
      <alignment horizontal="center"/>
    </xf>
    <xf numFmtId="173" fontId="1" fillId="0" borderId="8" xfId="0" applyNumberFormat="1" applyBorder="1" applyAlignment="1">
      <alignment horizontal="left"/>
    </xf>
    <xf numFmtId="173" fontId="1" fillId="0" borderId="1" xfId="0" applyNumberFormat="1" applyBorder="1" applyAlignment="1">
      <alignment horizontal="left"/>
    </xf>
    <xf numFmtId="173" fontId="0" fillId="0" borderId="0" xfId="0" applyNumberFormat="1" applyAlignment="1">
      <alignment/>
    </xf>
    <xf numFmtId="173" fontId="4" fillId="0" borderId="1" xfId="0" applyNumberFormat="1" applyFont="1" applyBorder="1" applyAlignment="1">
      <alignment horizontal="center" wrapText="1"/>
    </xf>
    <xf numFmtId="173" fontId="4" fillId="0" borderId="1" xfId="0" applyNumberFormat="1" applyFont="1" applyFill="1" applyBorder="1" applyAlignment="1">
      <alignment horizontal="center" wrapText="1"/>
    </xf>
    <xf numFmtId="173" fontId="4" fillId="0" borderId="0" xfId="0" applyNumberFormat="1" applyFont="1" applyFill="1" applyBorder="1" applyAlignment="1">
      <alignment horizontal="center" wrapText="1"/>
    </xf>
    <xf numFmtId="173" fontId="1" fillId="0" borderId="0" xfId="0" applyNumberFormat="1" applyAlignment="1">
      <alignment/>
    </xf>
    <xf numFmtId="173" fontId="0" fillId="0" borderId="0" xfId="0" applyNumberFormat="1" applyAlignment="1">
      <alignment horizontal="center" vertical="center"/>
    </xf>
    <xf numFmtId="173" fontId="2" fillId="0" borderId="0" xfId="0" applyNumberFormat="1" applyFont="1" applyAlignment="1">
      <alignment horizontal="center" vertical="center"/>
    </xf>
    <xf numFmtId="173" fontId="2" fillId="0" borderId="7" xfId="0" applyNumberFormat="1" applyFont="1" applyBorder="1" applyAlignment="1">
      <alignment horizontal="center" vertical="center"/>
    </xf>
    <xf numFmtId="173" fontId="2" fillId="0" borderId="9" xfId="0" applyNumberFormat="1" applyFont="1" applyBorder="1" applyAlignment="1">
      <alignment horizontal="center" vertical="center"/>
    </xf>
    <xf numFmtId="173" fontId="2" fillId="0" borderId="2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8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3" fontId="0" fillId="0" borderId="7" xfId="0" applyNumberFormat="1" applyBorder="1" applyAlignment="1">
      <alignment horizontal="center" vertical="center"/>
    </xf>
    <xf numFmtId="173" fontId="0" fillId="0" borderId="9" xfId="0" applyNumberFormat="1" applyBorder="1" applyAlignment="1">
      <alignment horizontal="center" vertical="center"/>
    </xf>
    <xf numFmtId="173" fontId="2" fillId="0" borderId="1" xfId="0" applyNumberFormat="1" applyFont="1" applyBorder="1" applyAlignment="1">
      <alignment horizontal="center" vertical="center"/>
    </xf>
    <xf numFmtId="173" fontId="0" fillId="0" borderId="2" xfId="0" applyNumberFormat="1" applyBorder="1" applyAlignment="1">
      <alignment horizontal="center" vertical="center"/>
    </xf>
    <xf numFmtId="173" fontId="0" fillId="0" borderId="10" xfId="0" applyNumberFormat="1" applyBorder="1" applyAlignment="1">
      <alignment horizontal="center" vertical="center"/>
    </xf>
    <xf numFmtId="173" fontId="2" fillId="0" borderId="0" xfId="0" applyNumberFormat="1" applyFont="1" applyAlignment="1">
      <alignment/>
    </xf>
    <xf numFmtId="0" fontId="1" fillId="0" borderId="11" xfId="0" applyBorder="1" applyAlignment="1">
      <alignment horizontal="center" wrapText="1"/>
    </xf>
    <xf numFmtId="0" fontId="1" fillId="0" borderId="12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2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73" fontId="1" fillId="0" borderId="7" xfId="0" applyNumberFormat="1" applyFont="1" applyBorder="1" applyAlignment="1">
      <alignment horizontal="left"/>
    </xf>
    <xf numFmtId="173" fontId="1" fillId="0" borderId="8" xfId="0" applyNumberFormat="1" applyFont="1" applyBorder="1" applyAlignment="1">
      <alignment horizontal="left"/>
    </xf>
    <xf numFmtId="173" fontId="1" fillId="0" borderId="8" xfId="0" applyNumberFormat="1" applyFont="1" applyBorder="1" applyAlignment="1">
      <alignment horizontal="center"/>
    </xf>
    <xf numFmtId="173" fontId="1" fillId="0" borderId="2" xfId="0" applyNumberFormat="1" applyBorder="1" applyAlignment="1">
      <alignment horizontal="left"/>
    </xf>
    <xf numFmtId="173" fontId="0" fillId="0" borderId="9" xfId="0" applyNumberFormat="1" applyBorder="1" applyAlignment="1">
      <alignment horizontal="left"/>
    </xf>
    <xf numFmtId="173" fontId="1" fillId="0" borderId="10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August 26, 2003, Applied Piston</a:t>
            </a:r>
          </a:p>
        </c:rich>
      </c:tx>
      <c:layout/>
      <c:spPr>
        <a:noFill/>
        <a:ln>
          <a:noFill/>
        </a:ln>
      </c:spPr>
    </c:title>
    <c:view3D>
      <c:rotX val="29"/>
      <c:rotY val="58"/>
      <c:depthPercent val="100"/>
      <c:rAngAx val="0"/>
      <c:perspective val="30"/>
    </c:view3D>
    <c:plotArea>
      <c:layout>
        <c:manualLayout>
          <c:xMode val="edge"/>
          <c:yMode val="edge"/>
          <c:x val="0.01075"/>
          <c:y val="0.1075"/>
          <c:w val="0.97825"/>
          <c:h val="0.876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Data'!$N$26:$N$47</c:f>
              <c:numCache>
                <c:ptCount val="22"/>
                <c:pt idx="5">
                  <c:v>-0.023</c:v>
                </c:pt>
                <c:pt idx="6">
                  <c:v>-0.023</c:v>
                </c:pt>
                <c:pt idx="7">
                  <c:v>0.041</c:v>
                </c:pt>
                <c:pt idx="8">
                  <c:v>0.041</c:v>
                </c:pt>
                <c:pt idx="9">
                  <c:v>-0.013</c:v>
                </c:pt>
                <c:pt idx="10">
                  <c:v>-0.013</c:v>
                </c:pt>
                <c:pt idx="11">
                  <c:v>-0.002999999999999999</c:v>
                </c:pt>
                <c:pt idx="12">
                  <c:v>-0.002999999999999999</c:v>
                </c:pt>
                <c:pt idx="13">
                  <c:v>0.023</c:v>
                </c:pt>
                <c:pt idx="14">
                  <c:v>0.023</c:v>
                </c:pt>
                <c:pt idx="15">
                  <c:v>0.018000000000000002</c:v>
                </c:pt>
                <c:pt idx="16">
                  <c:v>0.018000000000000002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Data'!$O$26:$O$47</c:f>
              <c:numCache>
                <c:ptCount val="22"/>
                <c:pt idx="5">
                  <c:v>-0.023</c:v>
                </c:pt>
                <c:pt idx="6">
                  <c:v>-0.023</c:v>
                </c:pt>
                <c:pt idx="7">
                  <c:v>0.041</c:v>
                </c:pt>
                <c:pt idx="8">
                  <c:v>0.041</c:v>
                </c:pt>
                <c:pt idx="9">
                  <c:v>-0.013</c:v>
                </c:pt>
                <c:pt idx="10">
                  <c:v>-0.013</c:v>
                </c:pt>
                <c:pt idx="11">
                  <c:v>-0.002999999999999999</c:v>
                </c:pt>
                <c:pt idx="12">
                  <c:v>-0.002999999999999999</c:v>
                </c:pt>
                <c:pt idx="13">
                  <c:v>0.023</c:v>
                </c:pt>
                <c:pt idx="14">
                  <c:v>0.023</c:v>
                </c:pt>
                <c:pt idx="15">
                  <c:v>0.018000000000000002</c:v>
                </c:pt>
                <c:pt idx="16">
                  <c:v>0.018000000000000002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Data'!$P$26:$P$47</c:f>
              <c:numCache>
                <c:ptCount val="22"/>
                <c:pt idx="4">
                  <c:v>-0.023</c:v>
                </c:pt>
                <c:pt idx="5">
                  <c:v>-0.023</c:v>
                </c:pt>
                <c:pt idx="6">
                  <c:v>-0.023</c:v>
                </c:pt>
                <c:pt idx="7">
                  <c:v>-0.023</c:v>
                </c:pt>
                <c:pt idx="8">
                  <c:v>0.026000000000000002</c:v>
                </c:pt>
                <c:pt idx="9">
                  <c:v>0.026000000000000002</c:v>
                </c:pt>
                <c:pt idx="10">
                  <c:v>-0.013</c:v>
                </c:pt>
                <c:pt idx="11">
                  <c:v>-0.013</c:v>
                </c:pt>
                <c:pt idx="12">
                  <c:v>-0.002999999999999999</c:v>
                </c:pt>
                <c:pt idx="13">
                  <c:v>-0.002999999999999999</c:v>
                </c:pt>
                <c:pt idx="14">
                  <c:v>0.0010000000000000009</c:v>
                </c:pt>
                <c:pt idx="15">
                  <c:v>0.0010000000000000009</c:v>
                </c:pt>
                <c:pt idx="16">
                  <c:v>0.049999999999999996</c:v>
                </c:pt>
                <c:pt idx="17">
                  <c:v>0.049999999999999996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Data'!$Q$26:$Q$47</c:f>
              <c:numCache>
                <c:ptCount val="22"/>
                <c:pt idx="4">
                  <c:v>-0.023</c:v>
                </c:pt>
                <c:pt idx="5">
                  <c:v>-0.023</c:v>
                </c:pt>
                <c:pt idx="6">
                  <c:v>-0.023</c:v>
                </c:pt>
                <c:pt idx="7">
                  <c:v>-0.023</c:v>
                </c:pt>
                <c:pt idx="8">
                  <c:v>0.026000000000000002</c:v>
                </c:pt>
                <c:pt idx="9">
                  <c:v>0.026000000000000002</c:v>
                </c:pt>
                <c:pt idx="10">
                  <c:v>-0.013</c:v>
                </c:pt>
                <c:pt idx="11">
                  <c:v>-0.013</c:v>
                </c:pt>
                <c:pt idx="12">
                  <c:v>-0.002999999999999999</c:v>
                </c:pt>
                <c:pt idx="13">
                  <c:v>-0.002999999999999999</c:v>
                </c:pt>
                <c:pt idx="14">
                  <c:v>0.0010000000000000009</c:v>
                </c:pt>
                <c:pt idx="15">
                  <c:v>0.0010000000000000009</c:v>
                </c:pt>
                <c:pt idx="16">
                  <c:v>0.049999999999999996</c:v>
                </c:pt>
                <c:pt idx="17">
                  <c:v>0.049999999999999996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Data'!$R$26:$R$47</c:f>
              <c:numCache>
                <c:ptCount val="22"/>
                <c:pt idx="3">
                  <c:v>-0.034</c:v>
                </c:pt>
                <c:pt idx="4">
                  <c:v>-0.034</c:v>
                </c:pt>
                <c:pt idx="5">
                  <c:v>-0.034</c:v>
                </c:pt>
                <c:pt idx="6">
                  <c:v>-0.034</c:v>
                </c:pt>
                <c:pt idx="7">
                  <c:v>-0.023</c:v>
                </c:pt>
                <c:pt idx="8">
                  <c:v>-0.023</c:v>
                </c:pt>
                <c:pt idx="9">
                  <c:v>0.01</c:v>
                </c:pt>
                <c:pt idx="10">
                  <c:v>0.01</c:v>
                </c:pt>
                <c:pt idx="11">
                  <c:v>-0.013</c:v>
                </c:pt>
                <c:pt idx="12">
                  <c:v>-0.013</c:v>
                </c:pt>
                <c:pt idx="13">
                  <c:v>-0.013</c:v>
                </c:pt>
                <c:pt idx="14">
                  <c:v>-0.013</c:v>
                </c:pt>
                <c:pt idx="15">
                  <c:v>-0.013</c:v>
                </c:pt>
                <c:pt idx="16">
                  <c:v>-0.013</c:v>
                </c:pt>
                <c:pt idx="17">
                  <c:v>0.014</c:v>
                </c:pt>
                <c:pt idx="18">
                  <c:v>0.014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Data'!$S$26:$S$47</c:f>
              <c:numCache>
                <c:ptCount val="22"/>
                <c:pt idx="3">
                  <c:v>-0.034</c:v>
                </c:pt>
                <c:pt idx="4">
                  <c:v>-0.034</c:v>
                </c:pt>
                <c:pt idx="5">
                  <c:v>-0.034</c:v>
                </c:pt>
                <c:pt idx="6">
                  <c:v>-0.034</c:v>
                </c:pt>
                <c:pt idx="7">
                  <c:v>-0.023</c:v>
                </c:pt>
                <c:pt idx="8">
                  <c:v>-0.023</c:v>
                </c:pt>
                <c:pt idx="9">
                  <c:v>0.01</c:v>
                </c:pt>
                <c:pt idx="10">
                  <c:v>0.01</c:v>
                </c:pt>
                <c:pt idx="11">
                  <c:v>-0.013</c:v>
                </c:pt>
                <c:pt idx="12">
                  <c:v>-0.013</c:v>
                </c:pt>
                <c:pt idx="13">
                  <c:v>-0.013</c:v>
                </c:pt>
                <c:pt idx="14">
                  <c:v>-0.013</c:v>
                </c:pt>
                <c:pt idx="15">
                  <c:v>-0.013</c:v>
                </c:pt>
                <c:pt idx="16">
                  <c:v>-0.013</c:v>
                </c:pt>
                <c:pt idx="17">
                  <c:v>0.014</c:v>
                </c:pt>
                <c:pt idx="18">
                  <c:v>0.014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Data'!$T$26:$T$47</c:f>
              <c:numCache>
                <c:ptCount val="22"/>
                <c:pt idx="2">
                  <c:v>0.006999999999999999</c:v>
                </c:pt>
                <c:pt idx="3">
                  <c:v>0.006999999999999999</c:v>
                </c:pt>
                <c:pt idx="4">
                  <c:v>0.006999999999999999</c:v>
                </c:pt>
                <c:pt idx="5">
                  <c:v>0.006999999999999999</c:v>
                </c:pt>
                <c:pt idx="6">
                  <c:v>0.006999999999999999</c:v>
                </c:pt>
                <c:pt idx="7">
                  <c:v>0.006999999999999999</c:v>
                </c:pt>
                <c:pt idx="8">
                  <c:v>-0.011</c:v>
                </c:pt>
                <c:pt idx="9">
                  <c:v>-0.011</c:v>
                </c:pt>
                <c:pt idx="10">
                  <c:v>0</c:v>
                </c:pt>
                <c:pt idx="11">
                  <c:v>0</c:v>
                </c:pt>
                <c:pt idx="12">
                  <c:v>-0.013</c:v>
                </c:pt>
                <c:pt idx="13">
                  <c:v>-0.013</c:v>
                </c:pt>
                <c:pt idx="14">
                  <c:v>-0.024</c:v>
                </c:pt>
                <c:pt idx="15">
                  <c:v>-0.024</c:v>
                </c:pt>
                <c:pt idx="16">
                  <c:v>-0.024</c:v>
                </c:pt>
                <c:pt idx="17">
                  <c:v>-0.024</c:v>
                </c:pt>
                <c:pt idx="18">
                  <c:v>-0.024</c:v>
                </c:pt>
                <c:pt idx="19">
                  <c:v>-0.024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Data'!$U$26:$U$47</c:f>
              <c:numCache>
                <c:ptCount val="22"/>
                <c:pt idx="2">
                  <c:v>0.006999999999999999</c:v>
                </c:pt>
                <c:pt idx="3">
                  <c:v>0.006999999999999999</c:v>
                </c:pt>
                <c:pt idx="4">
                  <c:v>0.006999999999999999</c:v>
                </c:pt>
                <c:pt idx="5">
                  <c:v>0.006999999999999999</c:v>
                </c:pt>
                <c:pt idx="6">
                  <c:v>0.006999999999999999</c:v>
                </c:pt>
                <c:pt idx="7">
                  <c:v>0.006999999999999999</c:v>
                </c:pt>
                <c:pt idx="8">
                  <c:v>-0.011</c:v>
                </c:pt>
                <c:pt idx="9">
                  <c:v>-0.011</c:v>
                </c:pt>
                <c:pt idx="10">
                  <c:v>0</c:v>
                </c:pt>
                <c:pt idx="11">
                  <c:v>0</c:v>
                </c:pt>
                <c:pt idx="12">
                  <c:v>-0.013</c:v>
                </c:pt>
                <c:pt idx="13">
                  <c:v>-0.013</c:v>
                </c:pt>
                <c:pt idx="14">
                  <c:v>-0.024</c:v>
                </c:pt>
                <c:pt idx="15">
                  <c:v>-0.024</c:v>
                </c:pt>
                <c:pt idx="16">
                  <c:v>-0.024</c:v>
                </c:pt>
                <c:pt idx="17">
                  <c:v>-0.024</c:v>
                </c:pt>
                <c:pt idx="18">
                  <c:v>-0.024</c:v>
                </c:pt>
                <c:pt idx="19">
                  <c:v>-0.024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Data'!$V$26:$V$47</c:f>
              <c:numCache>
                <c:ptCount val="22"/>
                <c:pt idx="1">
                  <c:v>-0.132</c:v>
                </c:pt>
                <c:pt idx="2">
                  <c:v>-0.132</c:v>
                </c:pt>
                <c:pt idx="3">
                  <c:v>-0.111</c:v>
                </c:pt>
                <c:pt idx="4">
                  <c:v>-0.111</c:v>
                </c:pt>
                <c:pt idx="5">
                  <c:v>-0.111</c:v>
                </c:pt>
                <c:pt idx="6">
                  <c:v>-0.111</c:v>
                </c:pt>
                <c:pt idx="7">
                  <c:v>-0.064</c:v>
                </c:pt>
                <c:pt idx="8">
                  <c:v>-0.064</c:v>
                </c:pt>
                <c:pt idx="9">
                  <c:v>-0.011</c:v>
                </c:pt>
                <c:pt idx="10">
                  <c:v>-0.011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-0.012</c:v>
                </c:pt>
                <c:pt idx="16">
                  <c:v>-0.012</c:v>
                </c:pt>
                <c:pt idx="17">
                  <c:v>-0.012</c:v>
                </c:pt>
                <c:pt idx="18">
                  <c:v>-0.012</c:v>
                </c:pt>
                <c:pt idx="19">
                  <c:v>-0.012</c:v>
                </c:pt>
                <c:pt idx="20">
                  <c:v>-0.012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Data'!$W$26:$W$47</c:f>
              <c:numCache>
                <c:ptCount val="22"/>
                <c:pt idx="1">
                  <c:v>-0.132</c:v>
                </c:pt>
                <c:pt idx="2">
                  <c:v>-0.132</c:v>
                </c:pt>
                <c:pt idx="3">
                  <c:v>-0.111</c:v>
                </c:pt>
                <c:pt idx="4">
                  <c:v>-0.111</c:v>
                </c:pt>
                <c:pt idx="5">
                  <c:v>-0.111</c:v>
                </c:pt>
                <c:pt idx="6">
                  <c:v>-0.111</c:v>
                </c:pt>
                <c:pt idx="7">
                  <c:v>-0.064</c:v>
                </c:pt>
                <c:pt idx="8">
                  <c:v>-0.064</c:v>
                </c:pt>
                <c:pt idx="9">
                  <c:v>-0.011</c:v>
                </c:pt>
                <c:pt idx="10">
                  <c:v>-0.011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-0.012</c:v>
                </c:pt>
                <c:pt idx="16">
                  <c:v>-0.012</c:v>
                </c:pt>
                <c:pt idx="17">
                  <c:v>-0.012</c:v>
                </c:pt>
                <c:pt idx="18">
                  <c:v>-0.012</c:v>
                </c:pt>
                <c:pt idx="19">
                  <c:v>-0.012</c:v>
                </c:pt>
                <c:pt idx="20">
                  <c:v>-0.012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Data'!$X$26:$X$47</c:f>
              <c:numCache>
                <c:ptCount val="22"/>
                <c:pt idx="0">
                  <c:v>-0.15</c:v>
                </c:pt>
                <c:pt idx="1">
                  <c:v>-0.15</c:v>
                </c:pt>
                <c:pt idx="2">
                  <c:v>-0.15</c:v>
                </c:pt>
                <c:pt idx="3">
                  <c:v>-0.15</c:v>
                </c:pt>
                <c:pt idx="4">
                  <c:v>-0.121</c:v>
                </c:pt>
                <c:pt idx="5">
                  <c:v>-0.121</c:v>
                </c:pt>
                <c:pt idx="6">
                  <c:v>-0.081</c:v>
                </c:pt>
                <c:pt idx="7">
                  <c:v>-0.081</c:v>
                </c:pt>
                <c:pt idx="8">
                  <c:v>-0.04</c:v>
                </c:pt>
                <c:pt idx="9">
                  <c:v>-0.04</c:v>
                </c:pt>
                <c:pt idx="12">
                  <c:v>-0.014</c:v>
                </c:pt>
                <c:pt idx="13">
                  <c:v>-0.014</c:v>
                </c:pt>
                <c:pt idx="14">
                  <c:v>-0.027</c:v>
                </c:pt>
                <c:pt idx="15">
                  <c:v>-0.027</c:v>
                </c:pt>
                <c:pt idx="16">
                  <c:v>-0.027</c:v>
                </c:pt>
                <c:pt idx="17">
                  <c:v>-0.027</c:v>
                </c:pt>
                <c:pt idx="18">
                  <c:v>-0.027</c:v>
                </c:pt>
                <c:pt idx="19">
                  <c:v>-0.027</c:v>
                </c:pt>
                <c:pt idx="20">
                  <c:v>-0.0010000000000000009</c:v>
                </c:pt>
                <c:pt idx="21">
                  <c:v>-0.0010000000000000009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Data'!$Y$26:$Y$47</c:f>
              <c:numCache>
                <c:ptCount val="22"/>
                <c:pt idx="0">
                  <c:v>-0.15</c:v>
                </c:pt>
                <c:pt idx="1">
                  <c:v>-0.15</c:v>
                </c:pt>
                <c:pt idx="2">
                  <c:v>-0.15</c:v>
                </c:pt>
                <c:pt idx="3">
                  <c:v>-0.15</c:v>
                </c:pt>
                <c:pt idx="4">
                  <c:v>-0.121</c:v>
                </c:pt>
                <c:pt idx="5">
                  <c:v>-0.121</c:v>
                </c:pt>
                <c:pt idx="6">
                  <c:v>-0.081</c:v>
                </c:pt>
                <c:pt idx="7">
                  <c:v>-0.081</c:v>
                </c:pt>
                <c:pt idx="8">
                  <c:v>-0.04</c:v>
                </c:pt>
                <c:pt idx="9">
                  <c:v>-0.04</c:v>
                </c:pt>
                <c:pt idx="12">
                  <c:v>-0.014</c:v>
                </c:pt>
                <c:pt idx="13">
                  <c:v>-0.014</c:v>
                </c:pt>
                <c:pt idx="14">
                  <c:v>-0.027</c:v>
                </c:pt>
                <c:pt idx="15">
                  <c:v>-0.027</c:v>
                </c:pt>
                <c:pt idx="16">
                  <c:v>-0.027</c:v>
                </c:pt>
                <c:pt idx="17">
                  <c:v>-0.027</c:v>
                </c:pt>
                <c:pt idx="18">
                  <c:v>-0.027</c:v>
                </c:pt>
                <c:pt idx="19">
                  <c:v>-0.027</c:v>
                </c:pt>
                <c:pt idx="20">
                  <c:v>-0.0010000000000000009</c:v>
                </c:pt>
                <c:pt idx="21">
                  <c:v>-0.0010000000000000009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Data'!$Z$26:$Z$47</c:f>
              <c:numCache>
                <c:ptCount val="22"/>
                <c:pt idx="1">
                  <c:v>-0.131</c:v>
                </c:pt>
                <c:pt idx="2">
                  <c:v>-0.131</c:v>
                </c:pt>
                <c:pt idx="3">
                  <c:v>-0.155</c:v>
                </c:pt>
                <c:pt idx="4">
                  <c:v>-0.155</c:v>
                </c:pt>
                <c:pt idx="5">
                  <c:v>-0.118</c:v>
                </c:pt>
                <c:pt idx="6">
                  <c:v>-0.118</c:v>
                </c:pt>
                <c:pt idx="7">
                  <c:v>-0.08199999999999999</c:v>
                </c:pt>
                <c:pt idx="8">
                  <c:v>-0.08199999999999999</c:v>
                </c:pt>
                <c:pt idx="9">
                  <c:v>-0.043</c:v>
                </c:pt>
                <c:pt idx="10">
                  <c:v>-0.043</c:v>
                </c:pt>
                <c:pt idx="11">
                  <c:v>-0.014</c:v>
                </c:pt>
                <c:pt idx="12">
                  <c:v>-0.014</c:v>
                </c:pt>
                <c:pt idx="13">
                  <c:v>-0.032</c:v>
                </c:pt>
                <c:pt idx="14">
                  <c:v>-0.032</c:v>
                </c:pt>
                <c:pt idx="15">
                  <c:v>-0.051000000000000004</c:v>
                </c:pt>
                <c:pt idx="16">
                  <c:v>-0.051000000000000004</c:v>
                </c:pt>
                <c:pt idx="17">
                  <c:v>-0.061000000000000006</c:v>
                </c:pt>
                <c:pt idx="18">
                  <c:v>-0.061000000000000006</c:v>
                </c:pt>
                <c:pt idx="19">
                  <c:v>-0.116</c:v>
                </c:pt>
                <c:pt idx="20">
                  <c:v>-0.116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Data'!$AA$26:$AA$47</c:f>
              <c:numCache>
                <c:ptCount val="22"/>
                <c:pt idx="1">
                  <c:v>-0.131</c:v>
                </c:pt>
                <c:pt idx="2">
                  <c:v>-0.131</c:v>
                </c:pt>
                <c:pt idx="3">
                  <c:v>-0.155</c:v>
                </c:pt>
                <c:pt idx="4">
                  <c:v>-0.155</c:v>
                </c:pt>
                <c:pt idx="5">
                  <c:v>-0.118</c:v>
                </c:pt>
                <c:pt idx="6">
                  <c:v>-0.118</c:v>
                </c:pt>
                <c:pt idx="7">
                  <c:v>-0.08199999999999999</c:v>
                </c:pt>
                <c:pt idx="8">
                  <c:v>-0.08199999999999999</c:v>
                </c:pt>
                <c:pt idx="9">
                  <c:v>-0.043</c:v>
                </c:pt>
                <c:pt idx="10">
                  <c:v>-0.043</c:v>
                </c:pt>
                <c:pt idx="11">
                  <c:v>-0.014</c:v>
                </c:pt>
                <c:pt idx="12">
                  <c:v>-0.014</c:v>
                </c:pt>
                <c:pt idx="13">
                  <c:v>-0.032</c:v>
                </c:pt>
                <c:pt idx="14">
                  <c:v>-0.032</c:v>
                </c:pt>
                <c:pt idx="15">
                  <c:v>-0.051000000000000004</c:v>
                </c:pt>
                <c:pt idx="16">
                  <c:v>-0.051000000000000004</c:v>
                </c:pt>
                <c:pt idx="17">
                  <c:v>-0.061000000000000006</c:v>
                </c:pt>
                <c:pt idx="18">
                  <c:v>-0.061000000000000006</c:v>
                </c:pt>
                <c:pt idx="19">
                  <c:v>-0.116</c:v>
                </c:pt>
                <c:pt idx="20">
                  <c:v>-0.116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Data'!$AB$26:$AB$47</c:f>
              <c:numCache>
                <c:ptCount val="22"/>
                <c:pt idx="2">
                  <c:v>0.04099999999999998</c:v>
                </c:pt>
                <c:pt idx="3">
                  <c:v>0.04099999999999998</c:v>
                </c:pt>
                <c:pt idx="4">
                  <c:v>-0.18600000000000003</c:v>
                </c:pt>
                <c:pt idx="5">
                  <c:v>-0.18600000000000003</c:v>
                </c:pt>
                <c:pt idx="6">
                  <c:v>-0.14500000000000002</c:v>
                </c:pt>
                <c:pt idx="7">
                  <c:v>-0.14500000000000002</c:v>
                </c:pt>
                <c:pt idx="8">
                  <c:v>-0.096</c:v>
                </c:pt>
                <c:pt idx="9">
                  <c:v>-0.096</c:v>
                </c:pt>
                <c:pt idx="10">
                  <c:v>-0.024</c:v>
                </c:pt>
                <c:pt idx="11">
                  <c:v>-0.024</c:v>
                </c:pt>
                <c:pt idx="12">
                  <c:v>-0.032</c:v>
                </c:pt>
                <c:pt idx="13">
                  <c:v>-0.032</c:v>
                </c:pt>
                <c:pt idx="14">
                  <c:v>-0.046</c:v>
                </c:pt>
                <c:pt idx="15">
                  <c:v>-0.046</c:v>
                </c:pt>
                <c:pt idx="16">
                  <c:v>-0.046</c:v>
                </c:pt>
                <c:pt idx="17">
                  <c:v>-0.046</c:v>
                </c:pt>
                <c:pt idx="18">
                  <c:v>-0.031</c:v>
                </c:pt>
                <c:pt idx="19">
                  <c:v>-0.031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Data'!$AC$26:$AC$47</c:f>
              <c:numCache>
                <c:ptCount val="22"/>
                <c:pt idx="2">
                  <c:v>0.04099999999999998</c:v>
                </c:pt>
                <c:pt idx="3">
                  <c:v>0.04099999999999998</c:v>
                </c:pt>
                <c:pt idx="4">
                  <c:v>-0.18600000000000003</c:v>
                </c:pt>
                <c:pt idx="5">
                  <c:v>-0.18600000000000003</c:v>
                </c:pt>
                <c:pt idx="6">
                  <c:v>-0.14500000000000002</c:v>
                </c:pt>
                <c:pt idx="7">
                  <c:v>-0.14500000000000002</c:v>
                </c:pt>
                <c:pt idx="8">
                  <c:v>-0.096</c:v>
                </c:pt>
                <c:pt idx="9">
                  <c:v>-0.096</c:v>
                </c:pt>
                <c:pt idx="10">
                  <c:v>-0.024</c:v>
                </c:pt>
                <c:pt idx="11">
                  <c:v>-0.024</c:v>
                </c:pt>
                <c:pt idx="12">
                  <c:v>-0.032</c:v>
                </c:pt>
                <c:pt idx="13">
                  <c:v>-0.032</c:v>
                </c:pt>
                <c:pt idx="14">
                  <c:v>-0.046</c:v>
                </c:pt>
                <c:pt idx="15">
                  <c:v>-0.046</c:v>
                </c:pt>
                <c:pt idx="16">
                  <c:v>-0.046</c:v>
                </c:pt>
                <c:pt idx="17">
                  <c:v>-0.046</c:v>
                </c:pt>
                <c:pt idx="18">
                  <c:v>-0.031</c:v>
                </c:pt>
                <c:pt idx="19">
                  <c:v>-0.031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Data'!$AD$26:$AD$47</c:f>
              <c:numCache>
                <c:ptCount val="22"/>
                <c:pt idx="3">
                  <c:v>-0.225</c:v>
                </c:pt>
                <c:pt idx="4">
                  <c:v>-0.225</c:v>
                </c:pt>
                <c:pt idx="5">
                  <c:v>-0.186</c:v>
                </c:pt>
                <c:pt idx="6">
                  <c:v>-0.186</c:v>
                </c:pt>
                <c:pt idx="7">
                  <c:v>-0.139</c:v>
                </c:pt>
                <c:pt idx="8">
                  <c:v>-0.139</c:v>
                </c:pt>
                <c:pt idx="9">
                  <c:v>-0.024</c:v>
                </c:pt>
                <c:pt idx="10">
                  <c:v>-0.024</c:v>
                </c:pt>
                <c:pt idx="11">
                  <c:v>-0.046</c:v>
                </c:pt>
                <c:pt idx="12">
                  <c:v>-0.046</c:v>
                </c:pt>
                <c:pt idx="13">
                  <c:v>-0.05</c:v>
                </c:pt>
                <c:pt idx="14">
                  <c:v>-0.05</c:v>
                </c:pt>
                <c:pt idx="15">
                  <c:v>-0.03900000000000001</c:v>
                </c:pt>
                <c:pt idx="16">
                  <c:v>-0.03900000000000001</c:v>
                </c:pt>
                <c:pt idx="17">
                  <c:v>-0.020000000000000007</c:v>
                </c:pt>
                <c:pt idx="18">
                  <c:v>-0.020000000000000007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Data'!$AE$26:$AE$47</c:f>
              <c:numCache>
                <c:ptCount val="22"/>
                <c:pt idx="3">
                  <c:v>-0.225</c:v>
                </c:pt>
                <c:pt idx="4">
                  <c:v>-0.225</c:v>
                </c:pt>
                <c:pt idx="5">
                  <c:v>-0.186</c:v>
                </c:pt>
                <c:pt idx="6">
                  <c:v>-0.186</c:v>
                </c:pt>
                <c:pt idx="7">
                  <c:v>-0.139</c:v>
                </c:pt>
                <c:pt idx="8">
                  <c:v>-0.139</c:v>
                </c:pt>
                <c:pt idx="9">
                  <c:v>-0.024</c:v>
                </c:pt>
                <c:pt idx="10">
                  <c:v>-0.024</c:v>
                </c:pt>
                <c:pt idx="11">
                  <c:v>-0.046</c:v>
                </c:pt>
                <c:pt idx="12">
                  <c:v>-0.046</c:v>
                </c:pt>
                <c:pt idx="13">
                  <c:v>-0.05</c:v>
                </c:pt>
                <c:pt idx="14">
                  <c:v>-0.05</c:v>
                </c:pt>
                <c:pt idx="15">
                  <c:v>-0.03900000000000001</c:v>
                </c:pt>
                <c:pt idx="16">
                  <c:v>-0.03900000000000001</c:v>
                </c:pt>
                <c:pt idx="17">
                  <c:v>-0.020000000000000007</c:v>
                </c:pt>
                <c:pt idx="18">
                  <c:v>-0.020000000000000007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Data'!$AF$26:$AF$47</c:f>
              <c:numCache>
                <c:ptCount val="22"/>
                <c:pt idx="4">
                  <c:v>-0.455</c:v>
                </c:pt>
                <c:pt idx="5">
                  <c:v>-0.455</c:v>
                </c:pt>
                <c:pt idx="6">
                  <c:v>-0.264</c:v>
                </c:pt>
                <c:pt idx="7">
                  <c:v>-0.264</c:v>
                </c:pt>
                <c:pt idx="8">
                  <c:v>-0.024</c:v>
                </c:pt>
                <c:pt idx="9">
                  <c:v>-0.024</c:v>
                </c:pt>
                <c:pt idx="10">
                  <c:v>-0.059</c:v>
                </c:pt>
                <c:pt idx="11">
                  <c:v>-0.059</c:v>
                </c:pt>
                <c:pt idx="12">
                  <c:v>-0.05</c:v>
                </c:pt>
                <c:pt idx="13">
                  <c:v>-0.05</c:v>
                </c:pt>
                <c:pt idx="14">
                  <c:v>-0.035</c:v>
                </c:pt>
                <c:pt idx="15">
                  <c:v>-0.035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Data'!$AG$26:$AG$47</c:f>
              <c:numCache>
                <c:ptCount val="22"/>
                <c:pt idx="4">
                  <c:v>-0.455</c:v>
                </c:pt>
                <c:pt idx="5">
                  <c:v>-0.455</c:v>
                </c:pt>
                <c:pt idx="6">
                  <c:v>-0.264</c:v>
                </c:pt>
                <c:pt idx="7">
                  <c:v>-0.264</c:v>
                </c:pt>
                <c:pt idx="8">
                  <c:v>-0.024</c:v>
                </c:pt>
                <c:pt idx="9">
                  <c:v>-0.024</c:v>
                </c:pt>
                <c:pt idx="10">
                  <c:v>-0.059</c:v>
                </c:pt>
                <c:pt idx="11">
                  <c:v>-0.059</c:v>
                </c:pt>
                <c:pt idx="12">
                  <c:v>-0.05</c:v>
                </c:pt>
                <c:pt idx="13">
                  <c:v>-0.05</c:v>
                </c:pt>
                <c:pt idx="14">
                  <c:v>-0.035</c:v>
                </c:pt>
                <c:pt idx="15">
                  <c:v>-0.035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Data'!$AH$26:$AH$47</c:f>
              <c:numCache>
                <c:ptCount val="22"/>
                <c:pt idx="5">
                  <c:v>-0.533</c:v>
                </c:pt>
                <c:pt idx="6">
                  <c:v>-0.533</c:v>
                </c:pt>
                <c:pt idx="7">
                  <c:v>0.013999999999999999</c:v>
                </c:pt>
                <c:pt idx="8">
                  <c:v>0.013999999999999999</c:v>
                </c:pt>
                <c:pt idx="9">
                  <c:v>-0.045</c:v>
                </c:pt>
                <c:pt idx="10">
                  <c:v>-0.045</c:v>
                </c:pt>
                <c:pt idx="11">
                  <c:v>-0.008</c:v>
                </c:pt>
                <c:pt idx="12">
                  <c:v>-0.008</c:v>
                </c:pt>
                <c:pt idx="13">
                  <c:v>-0.035</c:v>
                </c:pt>
                <c:pt idx="14">
                  <c:v>-0.035</c:v>
                </c:pt>
                <c:pt idx="15">
                  <c:v>-0.0010000000000000009</c:v>
                </c:pt>
                <c:pt idx="16">
                  <c:v>-0.0010000000000000009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'Applied Piston Raw Data'!$AI$26:$AI$47</c:f>
              <c:numCache>
                <c:ptCount val="22"/>
                <c:pt idx="5">
                  <c:v>-0.533</c:v>
                </c:pt>
                <c:pt idx="6">
                  <c:v>-0.533</c:v>
                </c:pt>
                <c:pt idx="7">
                  <c:v>0.013999999999999999</c:v>
                </c:pt>
                <c:pt idx="8">
                  <c:v>0.013999999999999999</c:v>
                </c:pt>
                <c:pt idx="9">
                  <c:v>-0.045</c:v>
                </c:pt>
                <c:pt idx="10">
                  <c:v>-0.045</c:v>
                </c:pt>
                <c:pt idx="11">
                  <c:v>-0.008</c:v>
                </c:pt>
                <c:pt idx="12">
                  <c:v>-0.008</c:v>
                </c:pt>
                <c:pt idx="13">
                  <c:v>-0.035</c:v>
                </c:pt>
                <c:pt idx="14">
                  <c:v>-0.035</c:v>
                </c:pt>
                <c:pt idx="15">
                  <c:v>-0.0010000000000000009</c:v>
                </c:pt>
                <c:pt idx="16">
                  <c:v>-0.0010000000000000009</c:v>
                </c:pt>
              </c:numCache>
            </c:numRef>
          </c:val>
        </c:ser>
        <c:axId val="46956711"/>
        <c:axId val="19957216"/>
        <c:axId val="45397217"/>
      </c:surface3DChart>
      <c:catAx>
        <c:axId val="4695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957216"/>
        <c:crosses val="autoZero"/>
        <c:auto val="1"/>
        <c:lblOffset val="100"/>
        <c:noMultiLvlLbl val="0"/>
      </c:catAx>
      <c:valAx>
        <c:axId val="199572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956711"/>
        <c:crossesAt val="1"/>
        <c:crossBetween val="between"/>
        <c:dispUnits/>
        <c:majorUnit val="0.05"/>
      </c:valAx>
      <c:ser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Horozontal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95721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85"/>
          <c:y val="0.261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August 26, 2003 Z-Axis error prior to pistoning</a:t>
            </a:r>
          </a:p>
        </c:rich>
      </c:tx>
      <c:layout/>
      <c:spPr>
        <a:noFill/>
        <a:ln>
          <a:noFill/>
        </a:ln>
      </c:spPr>
    </c:title>
    <c:view3D>
      <c:rotX val="47"/>
      <c:rotY val="49"/>
      <c:depthPercent val="100"/>
      <c:rAngAx val="0"/>
      <c:perspective val="0"/>
    </c:view3D>
    <c:plotArea>
      <c:layout>
        <c:manualLayout>
          <c:xMode val="edge"/>
          <c:yMode val="edge"/>
          <c:x val="0.01075"/>
          <c:y val="0.1075"/>
          <c:w val="0.98425"/>
          <c:h val="0.876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Data'!$N$26:$N$47</c:f>
              <c:numCache>
                <c:ptCount val="22"/>
                <c:pt idx="5">
                  <c:v>-0.04266666666666666</c:v>
                </c:pt>
                <c:pt idx="6">
                  <c:v>-0.04266666666666666</c:v>
                </c:pt>
                <c:pt idx="7">
                  <c:v>0.042333333333333334</c:v>
                </c:pt>
                <c:pt idx="8">
                  <c:v>0.042333333333333334</c:v>
                </c:pt>
                <c:pt idx="9">
                  <c:v>-0.007666666666666667</c:v>
                </c:pt>
                <c:pt idx="10">
                  <c:v>-0.007666666666666667</c:v>
                </c:pt>
                <c:pt idx="11">
                  <c:v>0.0075000000000000015</c:v>
                </c:pt>
                <c:pt idx="12">
                  <c:v>0.0075000000000000015</c:v>
                </c:pt>
                <c:pt idx="13">
                  <c:v>0.02666666666666667</c:v>
                </c:pt>
                <c:pt idx="14">
                  <c:v>0.02666666666666667</c:v>
                </c:pt>
                <c:pt idx="15">
                  <c:v>0.021500000000000002</c:v>
                </c:pt>
                <c:pt idx="16">
                  <c:v>0.021500000000000002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Data'!$O$26:$O$47</c:f>
              <c:numCache>
                <c:ptCount val="22"/>
                <c:pt idx="5">
                  <c:v>-0.04266666666666666</c:v>
                </c:pt>
                <c:pt idx="6">
                  <c:v>-0.04266666666666666</c:v>
                </c:pt>
                <c:pt idx="7">
                  <c:v>0.042333333333333334</c:v>
                </c:pt>
                <c:pt idx="8">
                  <c:v>0.042333333333333334</c:v>
                </c:pt>
                <c:pt idx="9">
                  <c:v>-0.007666666666666667</c:v>
                </c:pt>
                <c:pt idx="10">
                  <c:v>-0.007666666666666667</c:v>
                </c:pt>
                <c:pt idx="11">
                  <c:v>0.0075000000000000015</c:v>
                </c:pt>
                <c:pt idx="12">
                  <c:v>0.0075000000000000015</c:v>
                </c:pt>
                <c:pt idx="13">
                  <c:v>0.02666666666666667</c:v>
                </c:pt>
                <c:pt idx="14">
                  <c:v>0.02666666666666667</c:v>
                </c:pt>
                <c:pt idx="15">
                  <c:v>0.021500000000000002</c:v>
                </c:pt>
                <c:pt idx="16">
                  <c:v>0.021500000000000002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Data'!$P$26:$P$47</c:f>
              <c:numCache>
                <c:ptCount val="22"/>
                <c:pt idx="4">
                  <c:v>-0.026833333333333327</c:v>
                </c:pt>
                <c:pt idx="5">
                  <c:v>-0.026833333333333327</c:v>
                </c:pt>
                <c:pt idx="6">
                  <c:v>-0.03483333333333333</c:v>
                </c:pt>
                <c:pt idx="7">
                  <c:v>-0.03483333333333333</c:v>
                </c:pt>
                <c:pt idx="8">
                  <c:v>0.027333333333333334</c:v>
                </c:pt>
                <c:pt idx="9">
                  <c:v>0.027333333333333334</c:v>
                </c:pt>
                <c:pt idx="10">
                  <c:v>-0.004333333333333333</c:v>
                </c:pt>
                <c:pt idx="11">
                  <c:v>-0.004333333333333333</c:v>
                </c:pt>
                <c:pt idx="12">
                  <c:v>0.0005000000000000004</c:v>
                </c:pt>
                <c:pt idx="13">
                  <c:v>0.0005000000000000004</c:v>
                </c:pt>
                <c:pt idx="14">
                  <c:v>0.0045000000000000005</c:v>
                </c:pt>
                <c:pt idx="15">
                  <c:v>0.0045000000000000005</c:v>
                </c:pt>
                <c:pt idx="16">
                  <c:v>0.04050000000000001</c:v>
                </c:pt>
                <c:pt idx="17">
                  <c:v>0.04050000000000001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Data'!$Q$26:$Q$47</c:f>
              <c:numCache>
                <c:ptCount val="22"/>
                <c:pt idx="4">
                  <c:v>-0.026833333333333327</c:v>
                </c:pt>
                <c:pt idx="5">
                  <c:v>-0.026833333333333327</c:v>
                </c:pt>
                <c:pt idx="6">
                  <c:v>-0.03483333333333333</c:v>
                </c:pt>
                <c:pt idx="7">
                  <c:v>-0.03483333333333333</c:v>
                </c:pt>
                <c:pt idx="8">
                  <c:v>0.027333333333333334</c:v>
                </c:pt>
                <c:pt idx="9">
                  <c:v>0.027333333333333334</c:v>
                </c:pt>
                <c:pt idx="10">
                  <c:v>-0.004333333333333333</c:v>
                </c:pt>
                <c:pt idx="11">
                  <c:v>-0.004333333333333333</c:v>
                </c:pt>
                <c:pt idx="12">
                  <c:v>0.0005000000000000004</c:v>
                </c:pt>
                <c:pt idx="13">
                  <c:v>0.0005000000000000004</c:v>
                </c:pt>
                <c:pt idx="14">
                  <c:v>0.0045000000000000005</c:v>
                </c:pt>
                <c:pt idx="15">
                  <c:v>0.0045000000000000005</c:v>
                </c:pt>
                <c:pt idx="16">
                  <c:v>0.04050000000000001</c:v>
                </c:pt>
                <c:pt idx="17">
                  <c:v>0.04050000000000001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Data'!$R$26:$R$47</c:f>
              <c:numCache>
                <c:ptCount val="22"/>
                <c:pt idx="3">
                  <c:v>-0.041499999999999995</c:v>
                </c:pt>
                <c:pt idx="4">
                  <c:v>-0.041499999999999995</c:v>
                </c:pt>
                <c:pt idx="5">
                  <c:v>-0.043</c:v>
                </c:pt>
                <c:pt idx="6">
                  <c:v>-0.043</c:v>
                </c:pt>
                <c:pt idx="7">
                  <c:v>-0.03166666666666666</c:v>
                </c:pt>
                <c:pt idx="8">
                  <c:v>-0.03166666666666666</c:v>
                </c:pt>
                <c:pt idx="9">
                  <c:v>0.011666666666666667</c:v>
                </c:pt>
                <c:pt idx="10">
                  <c:v>0.011666666666666667</c:v>
                </c:pt>
                <c:pt idx="11">
                  <c:v>-0.008</c:v>
                </c:pt>
                <c:pt idx="12">
                  <c:v>-0.008</c:v>
                </c:pt>
                <c:pt idx="13">
                  <c:v>-0.009000000000000001</c:v>
                </c:pt>
                <c:pt idx="14">
                  <c:v>-0.009000000000000001</c:v>
                </c:pt>
                <c:pt idx="15">
                  <c:v>-0.012166666666666668</c:v>
                </c:pt>
                <c:pt idx="16">
                  <c:v>-0.012166666666666668</c:v>
                </c:pt>
                <c:pt idx="17">
                  <c:v>0.0145</c:v>
                </c:pt>
                <c:pt idx="18">
                  <c:v>0.0145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Data'!$S$26:$S$47</c:f>
              <c:numCache>
                <c:ptCount val="22"/>
                <c:pt idx="3">
                  <c:v>-0.041499999999999995</c:v>
                </c:pt>
                <c:pt idx="4">
                  <c:v>-0.041499999999999995</c:v>
                </c:pt>
                <c:pt idx="5">
                  <c:v>-0.043</c:v>
                </c:pt>
                <c:pt idx="6">
                  <c:v>-0.043</c:v>
                </c:pt>
                <c:pt idx="7">
                  <c:v>-0.03166666666666666</c:v>
                </c:pt>
                <c:pt idx="8">
                  <c:v>-0.03166666666666666</c:v>
                </c:pt>
                <c:pt idx="9">
                  <c:v>0.011666666666666667</c:v>
                </c:pt>
                <c:pt idx="10">
                  <c:v>0.011666666666666667</c:v>
                </c:pt>
                <c:pt idx="11">
                  <c:v>-0.008</c:v>
                </c:pt>
                <c:pt idx="12">
                  <c:v>-0.008</c:v>
                </c:pt>
                <c:pt idx="13">
                  <c:v>-0.009000000000000001</c:v>
                </c:pt>
                <c:pt idx="14">
                  <c:v>-0.009000000000000001</c:v>
                </c:pt>
                <c:pt idx="15">
                  <c:v>-0.012166666666666668</c:v>
                </c:pt>
                <c:pt idx="16">
                  <c:v>-0.012166666666666668</c:v>
                </c:pt>
                <c:pt idx="17">
                  <c:v>0.0145</c:v>
                </c:pt>
                <c:pt idx="18">
                  <c:v>0.0145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Data'!$T$26:$T$47</c:f>
              <c:numCache>
                <c:ptCount val="22"/>
                <c:pt idx="2">
                  <c:v>0.005333333333333334</c:v>
                </c:pt>
                <c:pt idx="3">
                  <c:v>0.005333333333333334</c:v>
                </c:pt>
                <c:pt idx="4">
                  <c:v>-0.0033333333333333327</c:v>
                </c:pt>
                <c:pt idx="5">
                  <c:v>-0.0033333333333333327</c:v>
                </c:pt>
                <c:pt idx="6">
                  <c:v>-0.0018333333333333326</c:v>
                </c:pt>
                <c:pt idx="7">
                  <c:v>-0.0018333333333333326</c:v>
                </c:pt>
                <c:pt idx="8">
                  <c:v>-0.020166666666666666</c:v>
                </c:pt>
                <c:pt idx="9">
                  <c:v>-0.020166666666666666</c:v>
                </c:pt>
                <c:pt idx="10">
                  <c:v>0.002166666666666667</c:v>
                </c:pt>
                <c:pt idx="11">
                  <c:v>0.002166666666666667</c:v>
                </c:pt>
                <c:pt idx="12">
                  <c:v>-0.0085</c:v>
                </c:pt>
                <c:pt idx="13">
                  <c:v>-0.0085</c:v>
                </c:pt>
                <c:pt idx="14">
                  <c:v>-0.019500000000000003</c:v>
                </c:pt>
                <c:pt idx="15">
                  <c:v>-0.019500000000000003</c:v>
                </c:pt>
                <c:pt idx="16">
                  <c:v>-0.02216666666666667</c:v>
                </c:pt>
                <c:pt idx="17">
                  <c:v>-0.02216666666666667</c:v>
                </c:pt>
                <c:pt idx="18">
                  <c:v>-0.015333333333333338</c:v>
                </c:pt>
                <c:pt idx="19">
                  <c:v>-0.015333333333333338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Data'!$U$26:$U$47</c:f>
              <c:numCache>
                <c:ptCount val="22"/>
                <c:pt idx="2">
                  <c:v>0.005333333333333334</c:v>
                </c:pt>
                <c:pt idx="3">
                  <c:v>0.005333333333333334</c:v>
                </c:pt>
                <c:pt idx="4">
                  <c:v>-0.0033333333333333327</c:v>
                </c:pt>
                <c:pt idx="5">
                  <c:v>-0.0033333333333333327</c:v>
                </c:pt>
                <c:pt idx="6">
                  <c:v>-0.0018333333333333326</c:v>
                </c:pt>
                <c:pt idx="7">
                  <c:v>-0.0018333333333333326</c:v>
                </c:pt>
                <c:pt idx="8">
                  <c:v>-0.020166666666666666</c:v>
                </c:pt>
                <c:pt idx="9">
                  <c:v>-0.020166666666666666</c:v>
                </c:pt>
                <c:pt idx="10">
                  <c:v>0.002166666666666667</c:v>
                </c:pt>
                <c:pt idx="11">
                  <c:v>0.002166666666666667</c:v>
                </c:pt>
                <c:pt idx="12">
                  <c:v>-0.0085</c:v>
                </c:pt>
                <c:pt idx="13">
                  <c:v>-0.0085</c:v>
                </c:pt>
                <c:pt idx="14">
                  <c:v>-0.019500000000000003</c:v>
                </c:pt>
                <c:pt idx="15">
                  <c:v>-0.019500000000000003</c:v>
                </c:pt>
                <c:pt idx="16">
                  <c:v>-0.02216666666666667</c:v>
                </c:pt>
                <c:pt idx="17">
                  <c:v>-0.02216666666666667</c:v>
                </c:pt>
                <c:pt idx="18">
                  <c:v>-0.015333333333333338</c:v>
                </c:pt>
                <c:pt idx="19">
                  <c:v>-0.015333333333333338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Data'!$V$26:$V$47</c:f>
              <c:numCache>
                <c:ptCount val="22"/>
                <c:pt idx="1">
                  <c:v>-0.13883333333333336</c:v>
                </c:pt>
                <c:pt idx="2">
                  <c:v>-0.13883333333333336</c:v>
                </c:pt>
                <c:pt idx="3">
                  <c:v>-0.11783333333333336</c:v>
                </c:pt>
                <c:pt idx="4">
                  <c:v>-0.11783333333333336</c:v>
                </c:pt>
                <c:pt idx="5">
                  <c:v>-0.11066666666666669</c:v>
                </c:pt>
                <c:pt idx="6">
                  <c:v>-0.11066666666666669</c:v>
                </c:pt>
                <c:pt idx="7">
                  <c:v>-0.06416666666666668</c:v>
                </c:pt>
                <c:pt idx="8">
                  <c:v>-0.06416666666666668</c:v>
                </c:pt>
                <c:pt idx="9">
                  <c:v>-0.011166666666666667</c:v>
                </c:pt>
                <c:pt idx="10">
                  <c:v>-0.011166666666666667</c:v>
                </c:pt>
                <c:pt idx="11">
                  <c:v>0.004666666666666667</c:v>
                </c:pt>
                <c:pt idx="12">
                  <c:v>0.004666666666666667</c:v>
                </c:pt>
                <c:pt idx="13">
                  <c:v>-0.003333333333333333</c:v>
                </c:pt>
                <c:pt idx="14">
                  <c:v>-0.003333333333333333</c:v>
                </c:pt>
                <c:pt idx="15">
                  <c:v>-0.015166666666666665</c:v>
                </c:pt>
                <c:pt idx="16">
                  <c:v>-0.015166666666666665</c:v>
                </c:pt>
                <c:pt idx="17">
                  <c:v>-0.019499999999999997</c:v>
                </c:pt>
                <c:pt idx="18">
                  <c:v>-0.019499999999999997</c:v>
                </c:pt>
                <c:pt idx="19">
                  <c:v>-0.011499999999999996</c:v>
                </c:pt>
                <c:pt idx="20">
                  <c:v>-0.011499999999999996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Data'!$W$26:$W$47</c:f>
              <c:numCache>
                <c:ptCount val="22"/>
                <c:pt idx="1">
                  <c:v>-0.13883333333333336</c:v>
                </c:pt>
                <c:pt idx="2">
                  <c:v>-0.13883333333333336</c:v>
                </c:pt>
                <c:pt idx="3">
                  <c:v>-0.11783333333333336</c:v>
                </c:pt>
                <c:pt idx="4">
                  <c:v>-0.11783333333333336</c:v>
                </c:pt>
                <c:pt idx="5">
                  <c:v>-0.11066666666666669</c:v>
                </c:pt>
                <c:pt idx="6">
                  <c:v>-0.11066666666666669</c:v>
                </c:pt>
                <c:pt idx="7">
                  <c:v>-0.06416666666666668</c:v>
                </c:pt>
                <c:pt idx="8">
                  <c:v>-0.06416666666666668</c:v>
                </c:pt>
                <c:pt idx="9">
                  <c:v>-0.011166666666666667</c:v>
                </c:pt>
                <c:pt idx="10">
                  <c:v>-0.011166666666666667</c:v>
                </c:pt>
                <c:pt idx="11">
                  <c:v>0.004666666666666667</c:v>
                </c:pt>
                <c:pt idx="12">
                  <c:v>0.004666666666666667</c:v>
                </c:pt>
                <c:pt idx="13">
                  <c:v>-0.003333333333333333</c:v>
                </c:pt>
                <c:pt idx="14">
                  <c:v>-0.003333333333333333</c:v>
                </c:pt>
                <c:pt idx="15">
                  <c:v>-0.015166666666666665</c:v>
                </c:pt>
                <c:pt idx="16">
                  <c:v>-0.015166666666666665</c:v>
                </c:pt>
                <c:pt idx="17">
                  <c:v>-0.019499999999999997</c:v>
                </c:pt>
                <c:pt idx="18">
                  <c:v>-0.019499999999999997</c:v>
                </c:pt>
                <c:pt idx="19">
                  <c:v>-0.011499999999999996</c:v>
                </c:pt>
                <c:pt idx="20">
                  <c:v>-0.011499999999999996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Data'!$X$26:$X$47</c:f>
              <c:numCache>
                <c:ptCount val="22"/>
                <c:pt idx="0">
                  <c:v>-0.14866666666666667</c:v>
                </c:pt>
                <c:pt idx="1">
                  <c:v>-0.14866666666666667</c:v>
                </c:pt>
                <c:pt idx="2">
                  <c:v>-0.14866666666666667</c:v>
                </c:pt>
                <c:pt idx="3">
                  <c:v>-0.14866666666666667</c:v>
                </c:pt>
                <c:pt idx="4">
                  <c:v>-0.11966666666666667</c:v>
                </c:pt>
                <c:pt idx="5">
                  <c:v>-0.11966666666666667</c:v>
                </c:pt>
                <c:pt idx="6">
                  <c:v>-0.08</c:v>
                </c:pt>
                <c:pt idx="7">
                  <c:v>-0.08</c:v>
                </c:pt>
                <c:pt idx="8">
                  <c:v>-0.0395</c:v>
                </c:pt>
                <c:pt idx="9">
                  <c:v>-0.0395</c:v>
                </c:pt>
                <c:pt idx="12">
                  <c:v>-0.014166666666666668</c:v>
                </c:pt>
                <c:pt idx="13">
                  <c:v>-0.014166666666666668</c:v>
                </c:pt>
                <c:pt idx="14">
                  <c:v>-0.027166666666666665</c:v>
                </c:pt>
                <c:pt idx="15">
                  <c:v>-0.027166666666666665</c:v>
                </c:pt>
                <c:pt idx="16">
                  <c:v>-0.0335</c:v>
                </c:pt>
                <c:pt idx="17">
                  <c:v>-0.0335</c:v>
                </c:pt>
                <c:pt idx="18">
                  <c:v>-0.02666666666666667</c:v>
                </c:pt>
                <c:pt idx="19">
                  <c:v>-0.02666666666666667</c:v>
                </c:pt>
                <c:pt idx="20">
                  <c:v>-0.0003333333333333348</c:v>
                </c:pt>
                <c:pt idx="21">
                  <c:v>-0.0003333333333333348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Data'!$Y$26:$Y$47</c:f>
              <c:numCache>
                <c:ptCount val="22"/>
                <c:pt idx="0">
                  <c:v>-0.14866666666666667</c:v>
                </c:pt>
                <c:pt idx="1">
                  <c:v>-0.14866666666666667</c:v>
                </c:pt>
                <c:pt idx="2">
                  <c:v>-0.14866666666666667</c:v>
                </c:pt>
                <c:pt idx="3">
                  <c:v>-0.14866666666666667</c:v>
                </c:pt>
                <c:pt idx="4">
                  <c:v>-0.11966666666666667</c:v>
                </c:pt>
                <c:pt idx="5">
                  <c:v>-0.11966666666666667</c:v>
                </c:pt>
                <c:pt idx="6">
                  <c:v>-0.08</c:v>
                </c:pt>
                <c:pt idx="7">
                  <c:v>-0.08</c:v>
                </c:pt>
                <c:pt idx="8">
                  <c:v>-0.0395</c:v>
                </c:pt>
                <c:pt idx="9">
                  <c:v>-0.0395</c:v>
                </c:pt>
                <c:pt idx="12">
                  <c:v>-0.014166666666666668</c:v>
                </c:pt>
                <c:pt idx="13">
                  <c:v>-0.014166666666666668</c:v>
                </c:pt>
                <c:pt idx="14">
                  <c:v>-0.027166666666666665</c:v>
                </c:pt>
                <c:pt idx="15">
                  <c:v>-0.027166666666666665</c:v>
                </c:pt>
                <c:pt idx="16">
                  <c:v>-0.0335</c:v>
                </c:pt>
                <c:pt idx="17">
                  <c:v>-0.0335</c:v>
                </c:pt>
                <c:pt idx="18">
                  <c:v>-0.02666666666666667</c:v>
                </c:pt>
                <c:pt idx="19">
                  <c:v>-0.02666666666666667</c:v>
                </c:pt>
                <c:pt idx="20">
                  <c:v>-0.0003333333333333348</c:v>
                </c:pt>
                <c:pt idx="21">
                  <c:v>-0.0003333333333333348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Data'!$Z$26:$Z$47</c:f>
              <c:numCache>
                <c:ptCount val="22"/>
                <c:pt idx="1">
                  <c:v>-0.13100000000000003</c:v>
                </c:pt>
                <c:pt idx="2">
                  <c:v>-0.13100000000000003</c:v>
                </c:pt>
                <c:pt idx="3">
                  <c:v>-0.15500000000000003</c:v>
                </c:pt>
                <c:pt idx="4">
                  <c:v>-0.15500000000000003</c:v>
                </c:pt>
                <c:pt idx="5">
                  <c:v>-0.11783333333333335</c:v>
                </c:pt>
                <c:pt idx="6">
                  <c:v>-0.11783333333333335</c:v>
                </c:pt>
                <c:pt idx="7">
                  <c:v>-0.08150000000000002</c:v>
                </c:pt>
                <c:pt idx="8">
                  <c:v>-0.08150000000000002</c:v>
                </c:pt>
                <c:pt idx="9">
                  <c:v>-0.0425</c:v>
                </c:pt>
                <c:pt idx="10">
                  <c:v>-0.0425</c:v>
                </c:pt>
                <c:pt idx="11">
                  <c:v>-0.013500000000000002</c:v>
                </c:pt>
                <c:pt idx="12">
                  <c:v>-0.013500000000000002</c:v>
                </c:pt>
                <c:pt idx="13">
                  <c:v>-0.0315</c:v>
                </c:pt>
                <c:pt idx="14">
                  <c:v>-0.0315</c:v>
                </c:pt>
                <c:pt idx="15">
                  <c:v>-0.050166666666666665</c:v>
                </c:pt>
                <c:pt idx="16">
                  <c:v>-0.050166666666666665</c:v>
                </c:pt>
                <c:pt idx="17">
                  <c:v>-0.059666666666666666</c:v>
                </c:pt>
                <c:pt idx="18">
                  <c:v>-0.059666666666666666</c:v>
                </c:pt>
                <c:pt idx="19">
                  <c:v>-0.11449999999999999</c:v>
                </c:pt>
                <c:pt idx="20">
                  <c:v>-0.11449999999999999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Data'!$AA$26:$AA$47</c:f>
              <c:numCache>
                <c:ptCount val="22"/>
                <c:pt idx="1">
                  <c:v>-0.13100000000000003</c:v>
                </c:pt>
                <c:pt idx="2">
                  <c:v>-0.13100000000000003</c:v>
                </c:pt>
                <c:pt idx="3">
                  <c:v>-0.15500000000000003</c:v>
                </c:pt>
                <c:pt idx="4">
                  <c:v>-0.15500000000000003</c:v>
                </c:pt>
                <c:pt idx="5">
                  <c:v>-0.11783333333333335</c:v>
                </c:pt>
                <c:pt idx="6">
                  <c:v>-0.11783333333333335</c:v>
                </c:pt>
                <c:pt idx="7">
                  <c:v>-0.08150000000000002</c:v>
                </c:pt>
                <c:pt idx="8">
                  <c:v>-0.08150000000000002</c:v>
                </c:pt>
                <c:pt idx="9">
                  <c:v>-0.0425</c:v>
                </c:pt>
                <c:pt idx="10">
                  <c:v>-0.0425</c:v>
                </c:pt>
                <c:pt idx="11">
                  <c:v>-0.013500000000000002</c:v>
                </c:pt>
                <c:pt idx="12">
                  <c:v>-0.013500000000000002</c:v>
                </c:pt>
                <c:pt idx="13">
                  <c:v>-0.0315</c:v>
                </c:pt>
                <c:pt idx="14">
                  <c:v>-0.0315</c:v>
                </c:pt>
                <c:pt idx="15">
                  <c:v>-0.050166666666666665</c:v>
                </c:pt>
                <c:pt idx="16">
                  <c:v>-0.050166666666666665</c:v>
                </c:pt>
                <c:pt idx="17">
                  <c:v>-0.059666666666666666</c:v>
                </c:pt>
                <c:pt idx="18">
                  <c:v>-0.059666666666666666</c:v>
                </c:pt>
                <c:pt idx="19">
                  <c:v>-0.11449999999999999</c:v>
                </c:pt>
                <c:pt idx="20">
                  <c:v>-0.11449999999999999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Data'!$AB$26:$AB$47</c:f>
              <c:numCache>
                <c:ptCount val="22"/>
                <c:pt idx="2">
                  <c:v>0.04100000000000001</c:v>
                </c:pt>
                <c:pt idx="3">
                  <c:v>0.04100000000000001</c:v>
                </c:pt>
                <c:pt idx="4">
                  <c:v>-0.1855</c:v>
                </c:pt>
                <c:pt idx="5">
                  <c:v>-0.1855</c:v>
                </c:pt>
                <c:pt idx="6">
                  <c:v>-0.14433333333333334</c:v>
                </c:pt>
                <c:pt idx="7">
                  <c:v>-0.14433333333333334</c:v>
                </c:pt>
                <c:pt idx="8">
                  <c:v>-0.0955</c:v>
                </c:pt>
                <c:pt idx="9">
                  <c:v>-0.0955</c:v>
                </c:pt>
                <c:pt idx="10">
                  <c:v>-0.0235</c:v>
                </c:pt>
                <c:pt idx="11">
                  <c:v>-0.0235</c:v>
                </c:pt>
                <c:pt idx="12">
                  <c:v>-0.03133333333333334</c:v>
                </c:pt>
                <c:pt idx="13">
                  <c:v>-0.03133333333333334</c:v>
                </c:pt>
                <c:pt idx="14">
                  <c:v>-0.045000000000000005</c:v>
                </c:pt>
                <c:pt idx="15">
                  <c:v>-0.045000000000000005</c:v>
                </c:pt>
                <c:pt idx="16">
                  <c:v>-0.043333333333333335</c:v>
                </c:pt>
                <c:pt idx="17">
                  <c:v>-0.043333333333333335</c:v>
                </c:pt>
                <c:pt idx="18">
                  <c:v>-0.028</c:v>
                </c:pt>
                <c:pt idx="19">
                  <c:v>-0.028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Data'!$AC$26:$AC$47</c:f>
              <c:numCache>
                <c:ptCount val="22"/>
                <c:pt idx="2">
                  <c:v>0.04100000000000001</c:v>
                </c:pt>
                <c:pt idx="3">
                  <c:v>0.04100000000000001</c:v>
                </c:pt>
                <c:pt idx="4">
                  <c:v>-0.1855</c:v>
                </c:pt>
                <c:pt idx="5">
                  <c:v>-0.1855</c:v>
                </c:pt>
                <c:pt idx="6">
                  <c:v>-0.14433333333333334</c:v>
                </c:pt>
                <c:pt idx="7">
                  <c:v>-0.14433333333333334</c:v>
                </c:pt>
                <c:pt idx="8">
                  <c:v>-0.0955</c:v>
                </c:pt>
                <c:pt idx="9">
                  <c:v>-0.0955</c:v>
                </c:pt>
                <c:pt idx="10">
                  <c:v>-0.0235</c:v>
                </c:pt>
                <c:pt idx="11">
                  <c:v>-0.0235</c:v>
                </c:pt>
                <c:pt idx="12">
                  <c:v>-0.03133333333333334</c:v>
                </c:pt>
                <c:pt idx="13">
                  <c:v>-0.03133333333333334</c:v>
                </c:pt>
                <c:pt idx="14">
                  <c:v>-0.045000000000000005</c:v>
                </c:pt>
                <c:pt idx="15">
                  <c:v>-0.045000000000000005</c:v>
                </c:pt>
                <c:pt idx="16">
                  <c:v>-0.043333333333333335</c:v>
                </c:pt>
                <c:pt idx="17">
                  <c:v>-0.043333333333333335</c:v>
                </c:pt>
                <c:pt idx="18">
                  <c:v>-0.028</c:v>
                </c:pt>
                <c:pt idx="19">
                  <c:v>-0.028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Data'!$AD$26:$AD$47</c:f>
              <c:numCache>
                <c:ptCount val="22"/>
                <c:pt idx="3">
                  <c:v>-0.2245</c:v>
                </c:pt>
                <c:pt idx="4">
                  <c:v>-0.2245</c:v>
                </c:pt>
                <c:pt idx="5">
                  <c:v>-0.1855</c:v>
                </c:pt>
                <c:pt idx="6">
                  <c:v>-0.1855</c:v>
                </c:pt>
                <c:pt idx="7">
                  <c:v>-0.13816666666666666</c:v>
                </c:pt>
                <c:pt idx="8">
                  <c:v>-0.13816666666666666</c:v>
                </c:pt>
                <c:pt idx="9">
                  <c:v>-0.0325</c:v>
                </c:pt>
                <c:pt idx="10">
                  <c:v>-0.0325</c:v>
                </c:pt>
                <c:pt idx="11">
                  <c:v>-0.044833333333333336</c:v>
                </c:pt>
                <c:pt idx="12">
                  <c:v>-0.044833333333333336</c:v>
                </c:pt>
                <c:pt idx="13">
                  <c:v>-0.0495</c:v>
                </c:pt>
                <c:pt idx="14">
                  <c:v>-0.0495</c:v>
                </c:pt>
                <c:pt idx="15">
                  <c:v>-0.038500000000000006</c:v>
                </c:pt>
                <c:pt idx="16">
                  <c:v>-0.038500000000000006</c:v>
                </c:pt>
                <c:pt idx="17">
                  <c:v>-0.020000000000000007</c:v>
                </c:pt>
                <c:pt idx="18">
                  <c:v>-0.020000000000000007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Data'!$AE$26:$AE$47</c:f>
              <c:numCache>
                <c:ptCount val="22"/>
                <c:pt idx="3">
                  <c:v>-0.2245</c:v>
                </c:pt>
                <c:pt idx="4">
                  <c:v>-0.2245</c:v>
                </c:pt>
                <c:pt idx="5">
                  <c:v>-0.1855</c:v>
                </c:pt>
                <c:pt idx="6">
                  <c:v>-0.1855</c:v>
                </c:pt>
                <c:pt idx="7">
                  <c:v>-0.13816666666666666</c:v>
                </c:pt>
                <c:pt idx="8">
                  <c:v>-0.13816666666666666</c:v>
                </c:pt>
                <c:pt idx="9">
                  <c:v>-0.0325</c:v>
                </c:pt>
                <c:pt idx="10">
                  <c:v>-0.0325</c:v>
                </c:pt>
                <c:pt idx="11">
                  <c:v>-0.044833333333333336</c:v>
                </c:pt>
                <c:pt idx="12">
                  <c:v>-0.044833333333333336</c:v>
                </c:pt>
                <c:pt idx="13">
                  <c:v>-0.0495</c:v>
                </c:pt>
                <c:pt idx="14">
                  <c:v>-0.0495</c:v>
                </c:pt>
                <c:pt idx="15">
                  <c:v>-0.038500000000000006</c:v>
                </c:pt>
                <c:pt idx="16">
                  <c:v>-0.038500000000000006</c:v>
                </c:pt>
                <c:pt idx="17">
                  <c:v>-0.020000000000000007</c:v>
                </c:pt>
                <c:pt idx="18">
                  <c:v>-0.020000000000000007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Data'!$AF$26:$AF$48</c:f>
              <c:numCache>
                <c:ptCount val="23"/>
                <c:pt idx="4">
                  <c:v>-0.45366666666666666</c:v>
                </c:pt>
                <c:pt idx="5">
                  <c:v>-0.45366666666666666</c:v>
                </c:pt>
                <c:pt idx="6">
                  <c:v>-0.26266666666666666</c:v>
                </c:pt>
                <c:pt idx="7">
                  <c:v>-0.26266666666666666</c:v>
                </c:pt>
                <c:pt idx="8">
                  <c:v>-0.028</c:v>
                </c:pt>
                <c:pt idx="9">
                  <c:v>-0.028</c:v>
                </c:pt>
                <c:pt idx="10">
                  <c:v>-0.05633333333333333</c:v>
                </c:pt>
                <c:pt idx="11">
                  <c:v>-0.05633333333333333</c:v>
                </c:pt>
                <c:pt idx="12">
                  <c:v>-0.05516666666666667</c:v>
                </c:pt>
                <c:pt idx="13">
                  <c:v>-0.05516666666666667</c:v>
                </c:pt>
                <c:pt idx="14">
                  <c:v>-0.0345</c:v>
                </c:pt>
                <c:pt idx="15">
                  <c:v>-0.0345</c:v>
                </c:pt>
                <c:pt idx="16">
                  <c:v>0.0005000000000000004</c:v>
                </c:pt>
                <c:pt idx="17">
                  <c:v>0.0005000000000000004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Data'!$AG$26:$AG$47</c:f>
              <c:numCache>
                <c:ptCount val="22"/>
                <c:pt idx="4">
                  <c:v>-0.45366666666666666</c:v>
                </c:pt>
                <c:pt idx="5">
                  <c:v>-0.45366666666666666</c:v>
                </c:pt>
                <c:pt idx="6">
                  <c:v>-0.26266666666666666</c:v>
                </c:pt>
                <c:pt idx="7">
                  <c:v>-0.26266666666666666</c:v>
                </c:pt>
                <c:pt idx="8">
                  <c:v>-0.028</c:v>
                </c:pt>
                <c:pt idx="9">
                  <c:v>-0.028</c:v>
                </c:pt>
                <c:pt idx="10">
                  <c:v>-0.05633333333333333</c:v>
                </c:pt>
                <c:pt idx="11">
                  <c:v>-0.05633333333333333</c:v>
                </c:pt>
                <c:pt idx="12">
                  <c:v>-0.05516666666666667</c:v>
                </c:pt>
                <c:pt idx="13">
                  <c:v>-0.05516666666666667</c:v>
                </c:pt>
                <c:pt idx="14">
                  <c:v>-0.0345</c:v>
                </c:pt>
                <c:pt idx="15">
                  <c:v>-0.0345</c:v>
                </c:pt>
                <c:pt idx="16">
                  <c:v>0.0005000000000000004</c:v>
                </c:pt>
                <c:pt idx="17">
                  <c:v>0.0005000000000000004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Data'!$AH$26:$AH$47</c:f>
              <c:numCache>
                <c:ptCount val="22"/>
                <c:pt idx="5">
                  <c:v>-0.5316666666666667</c:v>
                </c:pt>
                <c:pt idx="6">
                  <c:v>-0.5316666666666667</c:v>
                </c:pt>
                <c:pt idx="7">
                  <c:v>0.010166666666666668</c:v>
                </c:pt>
                <c:pt idx="8">
                  <c:v>0.010166666666666668</c:v>
                </c:pt>
                <c:pt idx="9">
                  <c:v>-0.042333333333333334</c:v>
                </c:pt>
                <c:pt idx="10">
                  <c:v>-0.042333333333333334</c:v>
                </c:pt>
                <c:pt idx="11">
                  <c:v>-0.013333333333333336</c:v>
                </c:pt>
                <c:pt idx="12">
                  <c:v>-0.013333333333333336</c:v>
                </c:pt>
                <c:pt idx="13">
                  <c:v>-0.0345</c:v>
                </c:pt>
                <c:pt idx="14">
                  <c:v>-0.0345</c:v>
                </c:pt>
                <c:pt idx="15">
                  <c:v>-0.0005000000000000004</c:v>
                </c:pt>
                <c:pt idx="16">
                  <c:v>-0.0005000000000000004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'Measured Error Raw Data'!$AI$26:$AI$47</c:f>
              <c:numCache>
                <c:ptCount val="22"/>
                <c:pt idx="5">
                  <c:v>-0.5316666666666667</c:v>
                </c:pt>
                <c:pt idx="6">
                  <c:v>-0.5316666666666667</c:v>
                </c:pt>
                <c:pt idx="7">
                  <c:v>0.010166666666666668</c:v>
                </c:pt>
                <c:pt idx="8">
                  <c:v>0.010166666666666668</c:v>
                </c:pt>
                <c:pt idx="9">
                  <c:v>-0.042333333333333334</c:v>
                </c:pt>
                <c:pt idx="10">
                  <c:v>-0.042333333333333334</c:v>
                </c:pt>
                <c:pt idx="11">
                  <c:v>-0.013333333333333336</c:v>
                </c:pt>
                <c:pt idx="12">
                  <c:v>-0.013333333333333336</c:v>
                </c:pt>
                <c:pt idx="13">
                  <c:v>-0.0345</c:v>
                </c:pt>
                <c:pt idx="14">
                  <c:v>-0.0345</c:v>
                </c:pt>
                <c:pt idx="15">
                  <c:v>-0.0005000000000000004</c:v>
                </c:pt>
                <c:pt idx="16">
                  <c:v>-0.0005000000000000004</c:v>
                </c:pt>
              </c:numCache>
            </c:numRef>
          </c:val>
        </c:ser>
        <c:axId val="5921770"/>
        <c:axId val="53295931"/>
        <c:axId val="9901332"/>
      </c:surface3DChart>
      <c:catAx>
        <c:axId val="59217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295931"/>
        <c:crosses val="autoZero"/>
        <c:auto val="1"/>
        <c:lblOffset val="100"/>
        <c:noMultiLvlLbl val="0"/>
      </c:catAx>
      <c:valAx>
        <c:axId val="53295931"/>
        <c:scaling>
          <c:orientation val="minMax"/>
          <c:max val="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21770"/>
        <c:crossesAt val="1"/>
        <c:crossBetween val="between"/>
        <c:dispUnits/>
        <c:majorUnit val="0.4"/>
        <c:minorUnit val="0.1"/>
      </c:valAx>
      <c:serAx>
        <c:axId val="990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Horozontal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29593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25"/>
          <c:y val="0.144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August 26, 2003, Residual Errors After Pistoning</a:t>
            </a:r>
          </a:p>
        </c:rich>
      </c:tx>
      <c:layout/>
      <c:spPr>
        <a:noFill/>
        <a:ln>
          <a:noFill/>
        </a:ln>
      </c:spPr>
    </c:title>
    <c:view3D>
      <c:rotX val="52"/>
      <c:rotY val="69"/>
      <c:depthPercent val="100"/>
      <c:rAngAx val="0"/>
      <c:perspective val="30"/>
    </c:view3D>
    <c:plotArea>
      <c:layout>
        <c:manualLayout>
          <c:xMode val="edge"/>
          <c:yMode val="edge"/>
          <c:x val="0.01075"/>
          <c:y val="0.10275"/>
          <c:w val="0.8815"/>
          <c:h val="0.8815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Data'!$N$26:$N$47</c:f>
              <c:numCache>
                <c:ptCount val="22"/>
                <c:pt idx="5">
                  <c:v>-0.021666666666666667</c:v>
                </c:pt>
                <c:pt idx="6">
                  <c:v>-0.021666666666666667</c:v>
                </c:pt>
                <c:pt idx="7">
                  <c:v>0.013</c:v>
                </c:pt>
                <c:pt idx="8">
                  <c:v>0.013</c:v>
                </c:pt>
                <c:pt idx="9">
                  <c:v>-0.0028333333333333327</c:v>
                </c:pt>
                <c:pt idx="10">
                  <c:v>-0.0028333333333333327</c:v>
                </c:pt>
                <c:pt idx="11">
                  <c:v>0.004500000000000002</c:v>
                </c:pt>
                <c:pt idx="12">
                  <c:v>0.004500000000000002</c:v>
                </c:pt>
                <c:pt idx="13">
                  <c:v>-0.0018333333333333326</c:v>
                </c:pt>
                <c:pt idx="14">
                  <c:v>-0.0018333333333333326</c:v>
                </c:pt>
                <c:pt idx="15">
                  <c:v>-0.0031666666666666657</c:v>
                </c:pt>
                <c:pt idx="16">
                  <c:v>-0.0031666666666666657</c:v>
                </c:pt>
              </c:numCache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Data'!$O$26:$O$47</c:f>
              <c:numCache>
                <c:ptCount val="22"/>
                <c:pt idx="5">
                  <c:v>-0.021666666666666667</c:v>
                </c:pt>
                <c:pt idx="6">
                  <c:v>-0.021666666666666667</c:v>
                </c:pt>
                <c:pt idx="7">
                  <c:v>0.013</c:v>
                </c:pt>
                <c:pt idx="8">
                  <c:v>0.013</c:v>
                </c:pt>
                <c:pt idx="9">
                  <c:v>-0.0028333333333333327</c:v>
                </c:pt>
                <c:pt idx="10">
                  <c:v>-0.0028333333333333327</c:v>
                </c:pt>
                <c:pt idx="11">
                  <c:v>0.004500000000000002</c:v>
                </c:pt>
                <c:pt idx="12">
                  <c:v>0.004500000000000002</c:v>
                </c:pt>
                <c:pt idx="13">
                  <c:v>-0.0018333333333333326</c:v>
                </c:pt>
                <c:pt idx="14">
                  <c:v>-0.0018333333333333326</c:v>
                </c:pt>
                <c:pt idx="15">
                  <c:v>-0.0031666666666666657</c:v>
                </c:pt>
                <c:pt idx="16">
                  <c:v>-0.0031666666666666657</c:v>
                </c:pt>
              </c:numCache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Data'!$P$26:$P$47</c:f>
              <c:numCache>
                <c:ptCount val="22"/>
                <c:pt idx="4">
                  <c:v>-0.0058333333333333345</c:v>
                </c:pt>
                <c:pt idx="5">
                  <c:v>-0.0058333333333333345</c:v>
                </c:pt>
                <c:pt idx="6">
                  <c:v>-0.013833333333333335</c:v>
                </c:pt>
                <c:pt idx="7">
                  <c:v>-0.013833333333333335</c:v>
                </c:pt>
                <c:pt idx="8">
                  <c:v>-0.002</c:v>
                </c:pt>
                <c:pt idx="9">
                  <c:v>-0.002</c:v>
                </c:pt>
                <c:pt idx="10">
                  <c:v>0.0005000000000000009</c:v>
                </c:pt>
                <c:pt idx="11">
                  <c:v>0.0005000000000000009</c:v>
                </c:pt>
                <c:pt idx="12">
                  <c:v>-0.0024999999999999988</c:v>
                </c:pt>
                <c:pt idx="13">
                  <c:v>-0.0024999999999999988</c:v>
                </c:pt>
                <c:pt idx="14">
                  <c:v>-0.0033333333333333322</c:v>
                </c:pt>
                <c:pt idx="15">
                  <c:v>-0.0033333333333333322</c:v>
                </c:pt>
                <c:pt idx="16">
                  <c:v>0.0006666666666666678</c:v>
                </c:pt>
                <c:pt idx="17">
                  <c:v>0.0006666666666666678</c:v>
                </c:pt>
              </c:numCache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Data'!$Q$26:$Q$47</c:f>
              <c:numCache>
                <c:ptCount val="22"/>
                <c:pt idx="4">
                  <c:v>-0.0058333333333333345</c:v>
                </c:pt>
                <c:pt idx="5">
                  <c:v>-0.0058333333333333345</c:v>
                </c:pt>
                <c:pt idx="6">
                  <c:v>-0.013833333333333335</c:v>
                </c:pt>
                <c:pt idx="7">
                  <c:v>-0.013833333333333335</c:v>
                </c:pt>
                <c:pt idx="8">
                  <c:v>-0.002</c:v>
                </c:pt>
                <c:pt idx="9">
                  <c:v>-0.002</c:v>
                </c:pt>
                <c:pt idx="10">
                  <c:v>0.0005000000000000009</c:v>
                </c:pt>
                <c:pt idx="11">
                  <c:v>0.0005000000000000009</c:v>
                </c:pt>
                <c:pt idx="12">
                  <c:v>-0.0024999999999999988</c:v>
                </c:pt>
                <c:pt idx="13">
                  <c:v>-0.0024999999999999988</c:v>
                </c:pt>
                <c:pt idx="14">
                  <c:v>-0.0033333333333333322</c:v>
                </c:pt>
                <c:pt idx="15">
                  <c:v>-0.0033333333333333322</c:v>
                </c:pt>
                <c:pt idx="16">
                  <c:v>0.0006666666666666678</c:v>
                </c:pt>
                <c:pt idx="17">
                  <c:v>0.0006666666666666678</c:v>
                </c:pt>
              </c:numCache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Data'!$R$26:$R$47</c:f>
              <c:numCache>
                <c:ptCount val="22"/>
                <c:pt idx="3">
                  <c:v>-0.011000000000000001</c:v>
                </c:pt>
                <c:pt idx="4">
                  <c:v>-0.011000000000000001</c:v>
                </c:pt>
                <c:pt idx="5">
                  <c:v>-0.0125</c:v>
                </c:pt>
                <c:pt idx="6">
                  <c:v>-0.0125</c:v>
                </c:pt>
                <c:pt idx="7">
                  <c:v>-0.010666666666666668</c:v>
                </c:pt>
                <c:pt idx="8">
                  <c:v>-0.010666666666666668</c:v>
                </c:pt>
                <c:pt idx="9">
                  <c:v>0.0006666666666666672</c:v>
                </c:pt>
                <c:pt idx="10">
                  <c:v>0.0006666666666666672</c:v>
                </c:pt>
                <c:pt idx="11">
                  <c:v>-0.003166666666666666</c:v>
                </c:pt>
                <c:pt idx="12">
                  <c:v>-0.003166666666666666</c:v>
                </c:pt>
                <c:pt idx="13">
                  <c:v>-0.004166666666666666</c:v>
                </c:pt>
                <c:pt idx="14">
                  <c:v>-0.004166666666666666</c:v>
                </c:pt>
                <c:pt idx="15">
                  <c:v>-0.007333333333333332</c:v>
                </c:pt>
                <c:pt idx="16">
                  <c:v>-0.007333333333333332</c:v>
                </c:pt>
                <c:pt idx="17">
                  <c:v>-0.005499999999999999</c:v>
                </c:pt>
                <c:pt idx="18">
                  <c:v>-0.005499999999999999</c:v>
                </c:pt>
              </c:numCache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Data'!$S$26:$S$47</c:f>
              <c:numCache>
                <c:ptCount val="22"/>
                <c:pt idx="3">
                  <c:v>-0.011000000000000001</c:v>
                </c:pt>
                <c:pt idx="4">
                  <c:v>-0.011000000000000001</c:v>
                </c:pt>
                <c:pt idx="5">
                  <c:v>-0.0125</c:v>
                </c:pt>
                <c:pt idx="6">
                  <c:v>-0.0125</c:v>
                </c:pt>
                <c:pt idx="7">
                  <c:v>-0.010666666666666668</c:v>
                </c:pt>
                <c:pt idx="8">
                  <c:v>-0.010666666666666668</c:v>
                </c:pt>
                <c:pt idx="9">
                  <c:v>0.0006666666666666672</c:v>
                </c:pt>
                <c:pt idx="10">
                  <c:v>0.0006666666666666672</c:v>
                </c:pt>
                <c:pt idx="11">
                  <c:v>-0.003166666666666666</c:v>
                </c:pt>
                <c:pt idx="12">
                  <c:v>-0.003166666666666666</c:v>
                </c:pt>
                <c:pt idx="13">
                  <c:v>-0.004166666666666666</c:v>
                </c:pt>
                <c:pt idx="14">
                  <c:v>-0.004166666666666666</c:v>
                </c:pt>
                <c:pt idx="15">
                  <c:v>-0.007333333333333332</c:v>
                </c:pt>
                <c:pt idx="16">
                  <c:v>-0.007333333333333332</c:v>
                </c:pt>
                <c:pt idx="17">
                  <c:v>-0.005499999999999999</c:v>
                </c:pt>
                <c:pt idx="18">
                  <c:v>-0.005499999999999999</c:v>
                </c:pt>
              </c:numCache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Data'!$T$26:$T$47</c:f>
              <c:numCache>
                <c:ptCount val="22"/>
                <c:pt idx="2">
                  <c:v>-0.002333333333333335</c:v>
                </c:pt>
                <c:pt idx="3">
                  <c:v>-0.002333333333333335</c:v>
                </c:pt>
                <c:pt idx="4">
                  <c:v>-0.011000000000000001</c:v>
                </c:pt>
                <c:pt idx="5">
                  <c:v>-0.011000000000000001</c:v>
                </c:pt>
                <c:pt idx="6">
                  <c:v>-0.009500000000000001</c:v>
                </c:pt>
                <c:pt idx="7">
                  <c:v>-0.009500000000000001</c:v>
                </c:pt>
                <c:pt idx="8">
                  <c:v>-0.013000000000000001</c:v>
                </c:pt>
                <c:pt idx="9">
                  <c:v>-0.013000000000000001</c:v>
                </c:pt>
                <c:pt idx="10">
                  <c:v>0.002166666666666667</c:v>
                </c:pt>
                <c:pt idx="11">
                  <c:v>0.002166666666666667</c:v>
                </c:pt>
                <c:pt idx="12">
                  <c:v>-0.003666666666666666</c:v>
                </c:pt>
                <c:pt idx="13">
                  <c:v>-0.003666666666666666</c:v>
                </c:pt>
                <c:pt idx="14">
                  <c:v>-0.005166666666666667</c:v>
                </c:pt>
                <c:pt idx="15">
                  <c:v>-0.005166666666666667</c:v>
                </c:pt>
                <c:pt idx="16">
                  <c:v>-0.007833333333333333</c:v>
                </c:pt>
                <c:pt idx="17">
                  <c:v>-0.007833333333333333</c:v>
                </c:pt>
                <c:pt idx="18">
                  <c:v>-0.0009999999999999992</c:v>
                </c:pt>
                <c:pt idx="19">
                  <c:v>-0.0009999999999999992</c:v>
                </c:pt>
              </c:numCache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Data'!$U$26:$U$47</c:f>
              <c:numCache>
                <c:ptCount val="22"/>
                <c:pt idx="2">
                  <c:v>-0.002333333333333335</c:v>
                </c:pt>
                <c:pt idx="3">
                  <c:v>-0.002333333333333335</c:v>
                </c:pt>
                <c:pt idx="4">
                  <c:v>-0.011000000000000001</c:v>
                </c:pt>
                <c:pt idx="5">
                  <c:v>-0.011000000000000001</c:v>
                </c:pt>
                <c:pt idx="6">
                  <c:v>-0.009500000000000001</c:v>
                </c:pt>
                <c:pt idx="7">
                  <c:v>-0.009500000000000001</c:v>
                </c:pt>
                <c:pt idx="8">
                  <c:v>-0.013000000000000001</c:v>
                </c:pt>
                <c:pt idx="9">
                  <c:v>-0.013000000000000001</c:v>
                </c:pt>
                <c:pt idx="10">
                  <c:v>0.002166666666666667</c:v>
                </c:pt>
                <c:pt idx="11">
                  <c:v>0.002166666666666667</c:v>
                </c:pt>
                <c:pt idx="12">
                  <c:v>-0.003666666666666666</c:v>
                </c:pt>
                <c:pt idx="13">
                  <c:v>-0.003666666666666666</c:v>
                </c:pt>
                <c:pt idx="14">
                  <c:v>-0.005166666666666667</c:v>
                </c:pt>
                <c:pt idx="15">
                  <c:v>-0.005166666666666667</c:v>
                </c:pt>
                <c:pt idx="16">
                  <c:v>-0.007833333333333333</c:v>
                </c:pt>
                <c:pt idx="17">
                  <c:v>-0.007833333333333333</c:v>
                </c:pt>
                <c:pt idx="18">
                  <c:v>-0.0009999999999999992</c:v>
                </c:pt>
                <c:pt idx="19">
                  <c:v>-0.0009999999999999992</c:v>
                </c:pt>
              </c:numCache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Data'!$V$26:$V$47</c:f>
              <c:numCache>
                <c:ptCount val="22"/>
                <c:pt idx="1">
                  <c:v>-0.019666666666666666</c:v>
                </c:pt>
                <c:pt idx="2">
                  <c:v>-0.019666666666666666</c:v>
                </c:pt>
                <c:pt idx="3">
                  <c:v>-0.017666666666666664</c:v>
                </c:pt>
                <c:pt idx="4">
                  <c:v>-0.017666666666666664</c:v>
                </c:pt>
                <c:pt idx="5">
                  <c:v>-0.010499999999999999</c:v>
                </c:pt>
                <c:pt idx="6">
                  <c:v>-0.010499999999999999</c:v>
                </c:pt>
                <c:pt idx="7">
                  <c:v>-0.0075</c:v>
                </c:pt>
                <c:pt idx="8">
                  <c:v>-0.0075</c:v>
                </c:pt>
                <c:pt idx="9">
                  <c:v>-0.004</c:v>
                </c:pt>
                <c:pt idx="10">
                  <c:v>-0.004</c:v>
                </c:pt>
                <c:pt idx="11">
                  <c:v>0.004666666666666667</c:v>
                </c:pt>
                <c:pt idx="12">
                  <c:v>0.004666666666666667</c:v>
                </c:pt>
                <c:pt idx="13">
                  <c:v>-0.003333333333333333</c:v>
                </c:pt>
                <c:pt idx="14">
                  <c:v>-0.003333333333333333</c:v>
                </c:pt>
                <c:pt idx="15">
                  <c:v>-0.005</c:v>
                </c:pt>
                <c:pt idx="16">
                  <c:v>-0.005</c:v>
                </c:pt>
                <c:pt idx="17">
                  <c:v>-0.009333333333333332</c:v>
                </c:pt>
                <c:pt idx="18">
                  <c:v>-0.009333333333333332</c:v>
                </c:pt>
                <c:pt idx="19">
                  <c:v>-0.0013333333333333322</c:v>
                </c:pt>
                <c:pt idx="20">
                  <c:v>-0.0013333333333333322</c:v>
                </c:pt>
              </c:numCache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Data'!$W$26:$W$47</c:f>
              <c:numCache>
                <c:ptCount val="22"/>
                <c:pt idx="1">
                  <c:v>-0.019666666666666666</c:v>
                </c:pt>
                <c:pt idx="2">
                  <c:v>-0.019666666666666666</c:v>
                </c:pt>
                <c:pt idx="3">
                  <c:v>-0.017666666666666664</c:v>
                </c:pt>
                <c:pt idx="4">
                  <c:v>-0.017666666666666664</c:v>
                </c:pt>
                <c:pt idx="5">
                  <c:v>-0.010499999999999999</c:v>
                </c:pt>
                <c:pt idx="6">
                  <c:v>-0.010499999999999999</c:v>
                </c:pt>
                <c:pt idx="7">
                  <c:v>-0.0075</c:v>
                </c:pt>
                <c:pt idx="8">
                  <c:v>-0.0075</c:v>
                </c:pt>
                <c:pt idx="9">
                  <c:v>-0.004</c:v>
                </c:pt>
                <c:pt idx="10">
                  <c:v>-0.004</c:v>
                </c:pt>
                <c:pt idx="11">
                  <c:v>0.004666666666666667</c:v>
                </c:pt>
                <c:pt idx="12">
                  <c:v>0.004666666666666667</c:v>
                </c:pt>
                <c:pt idx="13">
                  <c:v>-0.003333333333333333</c:v>
                </c:pt>
                <c:pt idx="14">
                  <c:v>-0.003333333333333333</c:v>
                </c:pt>
                <c:pt idx="15">
                  <c:v>-0.005</c:v>
                </c:pt>
                <c:pt idx="16">
                  <c:v>-0.005</c:v>
                </c:pt>
                <c:pt idx="17">
                  <c:v>-0.009333333333333332</c:v>
                </c:pt>
                <c:pt idx="18">
                  <c:v>-0.009333333333333332</c:v>
                </c:pt>
                <c:pt idx="19">
                  <c:v>-0.0013333333333333322</c:v>
                </c:pt>
                <c:pt idx="20">
                  <c:v>-0.0013333333333333322</c:v>
                </c:pt>
              </c:numCache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Data'!$X$26:$X$47</c:f>
              <c:numCache>
                <c:ptCount val="22"/>
                <c:pt idx="2">
                  <c:v>-0.045000000000000005</c:v>
                </c:pt>
                <c:pt idx="3">
                  <c:v>-0.045000000000000005</c:v>
                </c:pt>
                <c:pt idx="4">
                  <c:v>-0.042</c:v>
                </c:pt>
                <c:pt idx="5">
                  <c:v>-0.042</c:v>
                </c:pt>
                <c:pt idx="6">
                  <c:v>-0.03966666666666667</c:v>
                </c:pt>
                <c:pt idx="7">
                  <c:v>-0.03966666666666667</c:v>
                </c:pt>
                <c:pt idx="8">
                  <c:v>-0.0395</c:v>
                </c:pt>
                <c:pt idx="9">
                  <c:v>-0.0395</c:v>
                </c:pt>
                <c:pt idx="12">
                  <c:v>-0.0016666666666666666</c:v>
                </c:pt>
                <c:pt idx="13">
                  <c:v>-0.0016666666666666666</c:v>
                </c:pt>
                <c:pt idx="14">
                  <c:v>-0.008666666666666668</c:v>
                </c:pt>
                <c:pt idx="15">
                  <c:v>-0.008666666666666668</c:v>
                </c:pt>
                <c:pt idx="16">
                  <c:v>-0.015000000000000003</c:v>
                </c:pt>
                <c:pt idx="17">
                  <c:v>-0.015000000000000003</c:v>
                </c:pt>
                <c:pt idx="18">
                  <c:v>-0.00816666666666667</c:v>
                </c:pt>
                <c:pt idx="19">
                  <c:v>-0.00816666666666667</c:v>
                </c:pt>
                <c:pt idx="20">
                  <c:v>-0.00816666666666667</c:v>
                </c:pt>
                <c:pt idx="21">
                  <c:v>-0.00816666666666667</c:v>
                </c:pt>
              </c:numCache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Data'!$Y$26:$Y$47</c:f>
              <c:numCache>
                <c:ptCount val="22"/>
                <c:pt idx="2">
                  <c:v>-0.045000000000000005</c:v>
                </c:pt>
                <c:pt idx="3">
                  <c:v>-0.045000000000000005</c:v>
                </c:pt>
                <c:pt idx="4">
                  <c:v>-0.042</c:v>
                </c:pt>
                <c:pt idx="5">
                  <c:v>-0.042</c:v>
                </c:pt>
                <c:pt idx="6">
                  <c:v>-0.03966666666666667</c:v>
                </c:pt>
                <c:pt idx="7">
                  <c:v>-0.03966666666666667</c:v>
                </c:pt>
                <c:pt idx="8">
                  <c:v>-0.0395</c:v>
                </c:pt>
                <c:pt idx="9">
                  <c:v>-0.0395</c:v>
                </c:pt>
                <c:pt idx="12">
                  <c:v>-0.0016666666666666666</c:v>
                </c:pt>
                <c:pt idx="13">
                  <c:v>-0.0016666666666666666</c:v>
                </c:pt>
                <c:pt idx="14">
                  <c:v>-0.008666666666666668</c:v>
                </c:pt>
                <c:pt idx="15">
                  <c:v>-0.008666666666666668</c:v>
                </c:pt>
                <c:pt idx="16">
                  <c:v>-0.015000000000000003</c:v>
                </c:pt>
                <c:pt idx="17">
                  <c:v>-0.015000000000000003</c:v>
                </c:pt>
                <c:pt idx="18">
                  <c:v>-0.00816666666666667</c:v>
                </c:pt>
                <c:pt idx="19">
                  <c:v>-0.00816666666666667</c:v>
                </c:pt>
                <c:pt idx="20">
                  <c:v>-0.00816666666666667</c:v>
                </c:pt>
                <c:pt idx="21">
                  <c:v>-0.00816666666666667</c:v>
                </c:pt>
              </c:numCache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Data'!$Z$26:$Z$47</c:f>
              <c:numCache>
                <c:ptCount val="22"/>
                <c:pt idx="1">
                  <c:v>-0.017166666666666667</c:v>
                </c:pt>
                <c:pt idx="2">
                  <c:v>-0.017166666666666667</c:v>
                </c:pt>
                <c:pt idx="3">
                  <c:v>-0.011166666666666667</c:v>
                </c:pt>
                <c:pt idx="4">
                  <c:v>-0.011166666666666667</c:v>
                </c:pt>
                <c:pt idx="5">
                  <c:v>-0.009166666666666667</c:v>
                </c:pt>
                <c:pt idx="6">
                  <c:v>-0.009166666666666667</c:v>
                </c:pt>
                <c:pt idx="7">
                  <c:v>-0.006833333333333334</c:v>
                </c:pt>
                <c:pt idx="8">
                  <c:v>-0.006833333333333334</c:v>
                </c:pt>
                <c:pt idx="9">
                  <c:v>-0.0023333333333333335</c:v>
                </c:pt>
                <c:pt idx="10">
                  <c:v>-0.0023333333333333335</c:v>
                </c:pt>
                <c:pt idx="11">
                  <c:v>-0.013500000000000002</c:v>
                </c:pt>
                <c:pt idx="12">
                  <c:v>-0.013500000000000002</c:v>
                </c:pt>
                <c:pt idx="13">
                  <c:v>-0.013000000000000001</c:v>
                </c:pt>
                <c:pt idx="14">
                  <c:v>-0.013000000000000001</c:v>
                </c:pt>
                <c:pt idx="15">
                  <c:v>-0.01566666666666667</c:v>
                </c:pt>
                <c:pt idx="16">
                  <c:v>-0.01566666666666667</c:v>
                </c:pt>
                <c:pt idx="17">
                  <c:v>-0.020166666666666673</c:v>
                </c:pt>
                <c:pt idx="18">
                  <c:v>-0.020166666666666673</c:v>
                </c:pt>
                <c:pt idx="19">
                  <c:v>-0.021500000000000005</c:v>
                </c:pt>
                <c:pt idx="20">
                  <c:v>-0.021500000000000005</c:v>
                </c:pt>
              </c:numCache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Data'!$AA$26:$AA$47</c:f>
              <c:numCache>
                <c:ptCount val="22"/>
                <c:pt idx="1">
                  <c:v>-0.017166666666666667</c:v>
                </c:pt>
                <c:pt idx="2">
                  <c:v>-0.017166666666666667</c:v>
                </c:pt>
                <c:pt idx="3">
                  <c:v>-0.011166666666666667</c:v>
                </c:pt>
                <c:pt idx="4">
                  <c:v>-0.011166666666666667</c:v>
                </c:pt>
                <c:pt idx="5">
                  <c:v>-0.009166666666666667</c:v>
                </c:pt>
                <c:pt idx="6">
                  <c:v>-0.009166666666666667</c:v>
                </c:pt>
                <c:pt idx="7">
                  <c:v>-0.006833333333333334</c:v>
                </c:pt>
                <c:pt idx="8">
                  <c:v>-0.006833333333333334</c:v>
                </c:pt>
                <c:pt idx="9">
                  <c:v>-0.0023333333333333335</c:v>
                </c:pt>
                <c:pt idx="10">
                  <c:v>-0.0023333333333333335</c:v>
                </c:pt>
                <c:pt idx="11">
                  <c:v>-0.013500000000000002</c:v>
                </c:pt>
                <c:pt idx="12">
                  <c:v>-0.013500000000000002</c:v>
                </c:pt>
                <c:pt idx="13">
                  <c:v>-0.013000000000000001</c:v>
                </c:pt>
                <c:pt idx="14">
                  <c:v>-0.013000000000000001</c:v>
                </c:pt>
                <c:pt idx="15">
                  <c:v>-0.01566666666666667</c:v>
                </c:pt>
                <c:pt idx="16">
                  <c:v>-0.01566666666666667</c:v>
                </c:pt>
                <c:pt idx="17">
                  <c:v>-0.020166666666666673</c:v>
                </c:pt>
                <c:pt idx="18">
                  <c:v>-0.020166666666666673</c:v>
                </c:pt>
                <c:pt idx="19">
                  <c:v>-0.021500000000000005</c:v>
                </c:pt>
                <c:pt idx="20">
                  <c:v>-0.021500000000000005</c:v>
                </c:pt>
              </c:numCache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Data'!$AB$26:$AB$47</c:f>
              <c:numCache>
                <c:ptCount val="22"/>
                <c:pt idx="2">
                  <c:v>-0.00033333333333333283</c:v>
                </c:pt>
                <c:pt idx="3">
                  <c:v>-0.00033333333333333283</c:v>
                </c:pt>
                <c:pt idx="4">
                  <c:v>-0.001833333333333333</c:v>
                </c:pt>
                <c:pt idx="5">
                  <c:v>-0.001833333333333333</c:v>
                </c:pt>
                <c:pt idx="6">
                  <c:v>-0.0008333333333333335</c:v>
                </c:pt>
                <c:pt idx="7">
                  <c:v>-0.0008333333333333335</c:v>
                </c:pt>
                <c:pt idx="8">
                  <c:v>-0.0020000000000000005</c:v>
                </c:pt>
                <c:pt idx="9">
                  <c:v>-0.0020000000000000005</c:v>
                </c:pt>
                <c:pt idx="10">
                  <c:v>-0.014833333333333336</c:v>
                </c:pt>
                <c:pt idx="11">
                  <c:v>-0.014833333333333336</c:v>
                </c:pt>
                <c:pt idx="12">
                  <c:v>-0.0125</c:v>
                </c:pt>
                <c:pt idx="13">
                  <c:v>-0.0125</c:v>
                </c:pt>
                <c:pt idx="14">
                  <c:v>-0.012</c:v>
                </c:pt>
                <c:pt idx="15">
                  <c:v>-0.012</c:v>
                </c:pt>
                <c:pt idx="16">
                  <c:v>-0.010333333333333333</c:v>
                </c:pt>
                <c:pt idx="17">
                  <c:v>-0.010333333333333333</c:v>
                </c:pt>
                <c:pt idx="18">
                  <c:v>-0.009833333333333333</c:v>
                </c:pt>
                <c:pt idx="19">
                  <c:v>-0.009833333333333333</c:v>
                </c:pt>
              </c:numCache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Data'!$AC$26:$AC$47</c:f>
              <c:numCache>
                <c:ptCount val="22"/>
                <c:pt idx="2">
                  <c:v>-0.00033333333333333283</c:v>
                </c:pt>
                <c:pt idx="3">
                  <c:v>-0.00033333333333333283</c:v>
                </c:pt>
                <c:pt idx="4">
                  <c:v>-0.001833333333333333</c:v>
                </c:pt>
                <c:pt idx="5">
                  <c:v>-0.001833333333333333</c:v>
                </c:pt>
                <c:pt idx="6">
                  <c:v>-0.0008333333333333335</c:v>
                </c:pt>
                <c:pt idx="7">
                  <c:v>-0.0008333333333333335</c:v>
                </c:pt>
                <c:pt idx="8">
                  <c:v>-0.0020000000000000005</c:v>
                </c:pt>
                <c:pt idx="9">
                  <c:v>-0.0020000000000000005</c:v>
                </c:pt>
                <c:pt idx="10">
                  <c:v>-0.014833333333333336</c:v>
                </c:pt>
                <c:pt idx="11">
                  <c:v>-0.014833333333333336</c:v>
                </c:pt>
                <c:pt idx="12">
                  <c:v>-0.0125</c:v>
                </c:pt>
                <c:pt idx="13">
                  <c:v>-0.0125</c:v>
                </c:pt>
                <c:pt idx="14">
                  <c:v>-0.012</c:v>
                </c:pt>
                <c:pt idx="15">
                  <c:v>-0.012</c:v>
                </c:pt>
                <c:pt idx="16">
                  <c:v>-0.010333333333333333</c:v>
                </c:pt>
                <c:pt idx="17">
                  <c:v>-0.010333333333333333</c:v>
                </c:pt>
                <c:pt idx="18">
                  <c:v>-0.009833333333333333</c:v>
                </c:pt>
                <c:pt idx="19">
                  <c:v>-0.009833333333333333</c:v>
                </c:pt>
              </c:numCache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Data'!$AD$26:$AD$47</c:f>
              <c:numCache>
                <c:ptCount val="22"/>
                <c:pt idx="3">
                  <c:v>-0.011166666666666668</c:v>
                </c:pt>
                <c:pt idx="4">
                  <c:v>-0.011166666666666668</c:v>
                </c:pt>
                <c:pt idx="5">
                  <c:v>-0.011833333333333335</c:v>
                </c:pt>
                <c:pt idx="6">
                  <c:v>-0.011833333333333335</c:v>
                </c:pt>
                <c:pt idx="7">
                  <c:v>-0.005000000000000001</c:v>
                </c:pt>
                <c:pt idx="8">
                  <c:v>-0.005000000000000001</c:v>
                </c:pt>
                <c:pt idx="9">
                  <c:v>-0.02383333333333334</c:v>
                </c:pt>
                <c:pt idx="10">
                  <c:v>-0.02383333333333334</c:v>
                </c:pt>
                <c:pt idx="11">
                  <c:v>-0.0135</c:v>
                </c:pt>
                <c:pt idx="12">
                  <c:v>-0.0135</c:v>
                </c:pt>
                <c:pt idx="13">
                  <c:v>-0.014</c:v>
                </c:pt>
                <c:pt idx="14">
                  <c:v>-0.014</c:v>
                </c:pt>
                <c:pt idx="15">
                  <c:v>-0.014166666666666668</c:v>
                </c:pt>
                <c:pt idx="16">
                  <c:v>-0.014166666666666668</c:v>
                </c:pt>
                <c:pt idx="17">
                  <c:v>0.004333333333333331</c:v>
                </c:pt>
                <c:pt idx="18">
                  <c:v>0.004333333333333331</c:v>
                </c:pt>
              </c:numCache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Data'!$AE$26:$AE$47</c:f>
              <c:numCache>
                <c:ptCount val="22"/>
                <c:pt idx="3">
                  <c:v>-0.011166666666666668</c:v>
                </c:pt>
                <c:pt idx="4">
                  <c:v>-0.011166666666666668</c:v>
                </c:pt>
                <c:pt idx="5">
                  <c:v>-0.011833333333333335</c:v>
                </c:pt>
                <c:pt idx="6">
                  <c:v>-0.011833333333333335</c:v>
                </c:pt>
                <c:pt idx="7">
                  <c:v>-0.005000000000000001</c:v>
                </c:pt>
                <c:pt idx="8">
                  <c:v>-0.005000000000000001</c:v>
                </c:pt>
                <c:pt idx="9">
                  <c:v>-0.02383333333333334</c:v>
                </c:pt>
                <c:pt idx="10">
                  <c:v>-0.02383333333333334</c:v>
                </c:pt>
                <c:pt idx="11">
                  <c:v>-0.0135</c:v>
                </c:pt>
                <c:pt idx="12">
                  <c:v>-0.0135</c:v>
                </c:pt>
                <c:pt idx="13">
                  <c:v>-0.014</c:v>
                </c:pt>
                <c:pt idx="14">
                  <c:v>-0.014</c:v>
                </c:pt>
                <c:pt idx="15">
                  <c:v>-0.014166666666666668</c:v>
                </c:pt>
                <c:pt idx="16">
                  <c:v>-0.014166666666666668</c:v>
                </c:pt>
                <c:pt idx="17">
                  <c:v>0.004333333333333331</c:v>
                </c:pt>
                <c:pt idx="18">
                  <c:v>0.004333333333333331</c:v>
                </c:pt>
              </c:numCache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Data'!$AF$26:$AF$47</c:f>
              <c:numCache>
                <c:ptCount val="22"/>
                <c:pt idx="4">
                  <c:v>-0.012333333333333335</c:v>
                </c:pt>
                <c:pt idx="5">
                  <c:v>-0.012333333333333335</c:v>
                </c:pt>
                <c:pt idx="6">
                  <c:v>-0.006000000000000001</c:v>
                </c:pt>
                <c:pt idx="7">
                  <c:v>-0.006000000000000001</c:v>
                </c:pt>
                <c:pt idx="8">
                  <c:v>-0.019333333333333338</c:v>
                </c:pt>
                <c:pt idx="9">
                  <c:v>-0.019333333333333338</c:v>
                </c:pt>
                <c:pt idx="10">
                  <c:v>-0.025</c:v>
                </c:pt>
                <c:pt idx="11">
                  <c:v>-0.025</c:v>
                </c:pt>
                <c:pt idx="12">
                  <c:v>-0.019666666666666666</c:v>
                </c:pt>
                <c:pt idx="13">
                  <c:v>-0.019666666666666666</c:v>
                </c:pt>
                <c:pt idx="14">
                  <c:v>-0.011666666666666667</c:v>
                </c:pt>
                <c:pt idx="15">
                  <c:v>-0.011666666666666667</c:v>
                </c:pt>
                <c:pt idx="16">
                  <c:v>-0.012833333333333334</c:v>
                </c:pt>
                <c:pt idx="17">
                  <c:v>-0.012833333333333334</c:v>
                </c:pt>
              </c:numCache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Data'!$AG$26:$AG$47</c:f>
              <c:numCache>
                <c:ptCount val="22"/>
                <c:pt idx="4">
                  <c:v>-0.012333333333333335</c:v>
                </c:pt>
                <c:pt idx="5">
                  <c:v>-0.012333333333333335</c:v>
                </c:pt>
                <c:pt idx="6">
                  <c:v>-0.006000000000000001</c:v>
                </c:pt>
                <c:pt idx="7">
                  <c:v>-0.006000000000000001</c:v>
                </c:pt>
                <c:pt idx="8">
                  <c:v>-0.019333333333333338</c:v>
                </c:pt>
                <c:pt idx="9">
                  <c:v>-0.019333333333333338</c:v>
                </c:pt>
                <c:pt idx="10">
                  <c:v>-0.025</c:v>
                </c:pt>
                <c:pt idx="11">
                  <c:v>-0.025</c:v>
                </c:pt>
                <c:pt idx="12">
                  <c:v>-0.019666666666666666</c:v>
                </c:pt>
                <c:pt idx="13">
                  <c:v>-0.019666666666666666</c:v>
                </c:pt>
                <c:pt idx="14">
                  <c:v>-0.011666666666666667</c:v>
                </c:pt>
                <c:pt idx="15">
                  <c:v>-0.011666666666666667</c:v>
                </c:pt>
                <c:pt idx="16">
                  <c:v>-0.012833333333333334</c:v>
                </c:pt>
                <c:pt idx="17">
                  <c:v>-0.012833333333333334</c:v>
                </c:pt>
              </c:numCache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Data'!$AH$26:$AH$47</c:f>
              <c:numCache>
                <c:ptCount val="22"/>
                <c:pt idx="5">
                  <c:v>-0.009000000000000001</c:v>
                </c:pt>
                <c:pt idx="6">
                  <c:v>-0.009000000000000001</c:v>
                </c:pt>
                <c:pt idx="7">
                  <c:v>-0.022333333333333337</c:v>
                </c:pt>
                <c:pt idx="8">
                  <c:v>-0.022333333333333337</c:v>
                </c:pt>
                <c:pt idx="9">
                  <c:v>-0.026333333333333334</c:v>
                </c:pt>
                <c:pt idx="10">
                  <c:v>-0.026333333333333334</c:v>
                </c:pt>
                <c:pt idx="11">
                  <c:v>-0.020999999999999998</c:v>
                </c:pt>
                <c:pt idx="12">
                  <c:v>-0.020999999999999998</c:v>
                </c:pt>
                <c:pt idx="13">
                  <c:v>998.9883333333333</c:v>
                </c:pt>
                <c:pt idx="14">
                  <c:v>998.9883333333333</c:v>
                </c:pt>
                <c:pt idx="15">
                  <c:v>-0.007666666666666667</c:v>
                </c:pt>
                <c:pt idx="16">
                  <c:v>-0.007666666666666667</c:v>
                </c:pt>
              </c:numCache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'Residual Error Raw Data'!$AI$26:$AI$47</c:f>
              <c:numCache>
                <c:ptCount val="22"/>
                <c:pt idx="5">
                  <c:v>-0.009000000000000001</c:v>
                </c:pt>
                <c:pt idx="6">
                  <c:v>-0.009000000000000001</c:v>
                </c:pt>
                <c:pt idx="7">
                  <c:v>-0.022333333333333337</c:v>
                </c:pt>
                <c:pt idx="8">
                  <c:v>-0.022333333333333337</c:v>
                </c:pt>
                <c:pt idx="9">
                  <c:v>-0.026333333333333334</c:v>
                </c:pt>
                <c:pt idx="10">
                  <c:v>-0.026333333333333334</c:v>
                </c:pt>
                <c:pt idx="11">
                  <c:v>-0.020999999999999998</c:v>
                </c:pt>
                <c:pt idx="12">
                  <c:v>-0.020999999999999998</c:v>
                </c:pt>
                <c:pt idx="13">
                  <c:v>998.9883333333333</c:v>
                </c:pt>
                <c:pt idx="14">
                  <c:v>998.9883333333333</c:v>
                </c:pt>
                <c:pt idx="15">
                  <c:v>-0.007666666666666667</c:v>
                </c:pt>
                <c:pt idx="16">
                  <c:v>-0.007666666666666667</c:v>
                </c:pt>
              </c:numCache>
            </c:numRef>
          </c:val>
        </c:ser>
        <c:axId val="22003125"/>
        <c:axId val="63810398"/>
        <c:axId val="37422671"/>
      </c:surface3DChart>
      <c:catAx>
        <c:axId val="22003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Vertical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810398"/>
        <c:crosses val="autoZero"/>
        <c:auto val="1"/>
        <c:lblOffset val="100"/>
        <c:noMultiLvlLbl val="0"/>
      </c:catAx>
      <c:valAx>
        <c:axId val="638103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Microns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03125"/>
        <c:crossesAt val="1"/>
        <c:crossBetween val="between"/>
        <c:dispUnits/>
      </c:valAx>
      <c:serAx>
        <c:axId val="3742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Horozontal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381039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"/>
          <c:y val="0.189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3"/>
  </sheetViews>
  <pageMargins left="0.75" right="0.75" top="1" bottom="1" header="0.5" footer="0.5"/>
  <pageSetup horizontalDpi="204" verticalDpi="204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5" right="0.75" top="1" bottom="1" header="0.5" footer="0.5"/>
  <drawing r:id="rId1"/>
</chartsheet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85725</xdr:rowOff>
    </xdr:from>
    <xdr:to>
      <xdr:col>6</xdr:col>
      <xdr:colOff>352425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81375" y="4095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361950</xdr:colOff>
      <xdr:row>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39090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85725</xdr:rowOff>
    </xdr:from>
    <xdr:to>
      <xdr:col>6</xdr:col>
      <xdr:colOff>371475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40042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8</xdr:row>
      <xdr:rowOff>85725</xdr:rowOff>
    </xdr:from>
    <xdr:to>
      <xdr:col>6</xdr:col>
      <xdr:colOff>371475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400425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</xdr:row>
      <xdr:rowOff>85725</xdr:rowOff>
    </xdr:from>
    <xdr:to>
      <xdr:col>6</xdr:col>
      <xdr:colOff>381000</xdr:colOff>
      <xdr:row>11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409950" y="1704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76200</xdr:rowOff>
    </xdr:from>
    <xdr:to>
      <xdr:col>7</xdr:col>
      <xdr:colOff>381000</xdr:colOff>
      <xdr:row>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895725" y="561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76200</xdr:rowOff>
    </xdr:from>
    <xdr:to>
      <xdr:col>7</xdr:col>
      <xdr:colOff>381000</xdr:colOff>
      <xdr:row>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89572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7</xdr:row>
      <xdr:rowOff>76200</xdr:rowOff>
    </xdr:from>
    <xdr:to>
      <xdr:col>7</xdr:col>
      <xdr:colOff>381000</xdr:colOff>
      <xdr:row>8</xdr:row>
      <xdr:rowOff>114300</xdr:rowOff>
    </xdr:to>
    <xdr:sp>
      <xdr:nvSpPr>
        <xdr:cNvPr id="8" name="Line 8"/>
        <xdr:cNvSpPr>
          <a:spLocks/>
        </xdr:cNvSpPr>
      </xdr:nvSpPr>
      <xdr:spPr>
        <a:xfrm>
          <a:off x="38957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9</xdr:row>
      <xdr:rowOff>76200</xdr:rowOff>
    </xdr:from>
    <xdr:to>
      <xdr:col>7</xdr:col>
      <xdr:colOff>371475</xdr:colOff>
      <xdr:row>10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3886200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361950</xdr:colOff>
      <xdr:row>5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436245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76200</xdr:rowOff>
    </xdr:from>
    <xdr:to>
      <xdr:col>8</xdr:col>
      <xdr:colOff>371475</xdr:colOff>
      <xdr:row>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371975" y="104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76200</xdr:rowOff>
    </xdr:from>
    <xdr:to>
      <xdr:col>8</xdr:col>
      <xdr:colOff>371475</xdr:colOff>
      <xdr:row>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4371975" y="13716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85725</xdr:rowOff>
    </xdr:from>
    <xdr:to>
      <xdr:col>9</xdr:col>
      <xdr:colOff>361950</xdr:colOff>
      <xdr:row>6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4848225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76200</xdr:rowOff>
    </xdr:from>
    <xdr:to>
      <xdr:col>9</xdr:col>
      <xdr:colOff>361950</xdr:colOff>
      <xdr:row>8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8482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6</xdr:row>
      <xdr:rowOff>85725</xdr:rowOff>
    </xdr:from>
    <xdr:to>
      <xdr:col>10</xdr:col>
      <xdr:colOff>352425</xdr:colOff>
      <xdr:row>7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532447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</xdr:row>
      <xdr:rowOff>85725</xdr:rowOff>
    </xdr:from>
    <xdr:to>
      <xdr:col>5</xdr:col>
      <xdr:colOff>371475</xdr:colOff>
      <xdr:row>4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2914650" y="5715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76200</xdr:rowOff>
    </xdr:from>
    <xdr:to>
      <xdr:col>5</xdr:col>
      <xdr:colOff>381000</xdr:colOff>
      <xdr:row>6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92417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95250</xdr:rowOff>
    </xdr:from>
    <xdr:to>
      <xdr:col>5</xdr:col>
      <xdr:colOff>381000</xdr:colOff>
      <xdr:row>8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2924175" y="12287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381000</xdr:colOff>
      <xdr:row>10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924175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</xdr:row>
      <xdr:rowOff>95250</xdr:rowOff>
    </xdr:from>
    <xdr:to>
      <xdr:col>4</xdr:col>
      <xdr:colOff>361950</xdr:colOff>
      <xdr:row>5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2419350" y="7429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6</xdr:row>
      <xdr:rowOff>66675</xdr:rowOff>
    </xdr:from>
    <xdr:to>
      <xdr:col>4</xdr:col>
      <xdr:colOff>371475</xdr:colOff>
      <xdr:row>7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2428875" y="10382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85725</xdr:rowOff>
    </xdr:from>
    <xdr:to>
      <xdr:col>4</xdr:col>
      <xdr:colOff>361950</xdr:colOff>
      <xdr:row>9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2419350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</xdr:row>
      <xdr:rowOff>85725</xdr:rowOff>
    </xdr:from>
    <xdr:to>
      <xdr:col>3</xdr:col>
      <xdr:colOff>390525</xdr:colOff>
      <xdr:row>6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1962150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</xdr:row>
      <xdr:rowOff>66675</xdr:rowOff>
    </xdr:from>
    <xdr:to>
      <xdr:col>3</xdr:col>
      <xdr:colOff>390525</xdr:colOff>
      <xdr:row>8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1962150" y="12001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6</xdr:row>
      <xdr:rowOff>85725</xdr:rowOff>
    </xdr:from>
    <xdr:to>
      <xdr:col>2</xdr:col>
      <xdr:colOff>381000</xdr:colOff>
      <xdr:row>7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1466850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57150</xdr:rowOff>
    </xdr:from>
    <xdr:to>
      <xdr:col>6</xdr:col>
      <xdr:colOff>342900</xdr:colOff>
      <xdr:row>21</xdr:row>
      <xdr:rowOff>76200</xdr:rowOff>
    </xdr:to>
    <xdr:sp>
      <xdr:nvSpPr>
        <xdr:cNvPr id="26" name="Line 26"/>
        <xdr:cNvSpPr>
          <a:spLocks/>
        </xdr:cNvSpPr>
      </xdr:nvSpPr>
      <xdr:spPr>
        <a:xfrm flipV="1">
          <a:off x="3381375" y="3295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57150</xdr:rowOff>
    </xdr:from>
    <xdr:to>
      <xdr:col>6</xdr:col>
      <xdr:colOff>352425</xdr:colOff>
      <xdr:row>19</xdr:row>
      <xdr:rowOff>76200</xdr:rowOff>
    </xdr:to>
    <xdr:sp>
      <xdr:nvSpPr>
        <xdr:cNvPr id="27" name="Line 27"/>
        <xdr:cNvSpPr>
          <a:spLocks/>
        </xdr:cNvSpPr>
      </xdr:nvSpPr>
      <xdr:spPr>
        <a:xfrm flipV="1">
          <a:off x="33909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16</xdr:row>
      <xdr:rowOff>57150</xdr:rowOff>
    </xdr:from>
    <xdr:to>
      <xdr:col>6</xdr:col>
      <xdr:colOff>352425</xdr:colOff>
      <xdr:row>17</xdr:row>
      <xdr:rowOff>76200</xdr:rowOff>
    </xdr:to>
    <xdr:sp>
      <xdr:nvSpPr>
        <xdr:cNvPr id="28" name="Line 28"/>
        <xdr:cNvSpPr>
          <a:spLocks/>
        </xdr:cNvSpPr>
      </xdr:nvSpPr>
      <xdr:spPr>
        <a:xfrm flipV="1">
          <a:off x="33909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14</xdr:row>
      <xdr:rowOff>47625</xdr:rowOff>
    </xdr:from>
    <xdr:to>
      <xdr:col>6</xdr:col>
      <xdr:colOff>361950</xdr:colOff>
      <xdr:row>15</xdr:row>
      <xdr:rowOff>66675</xdr:rowOff>
    </xdr:to>
    <xdr:sp>
      <xdr:nvSpPr>
        <xdr:cNvPr id="29" name="Line 29"/>
        <xdr:cNvSpPr>
          <a:spLocks/>
        </xdr:cNvSpPr>
      </xdr:nvSpPr>
      <xdr:spPr>
        <a:xfrm flipV="1">
          <a:off x="3400425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66675</xdr:rowOff>
    </xdr:from>
    <xdr:to>
      <xdr:col>6</xdr:col>
      <xdr:colOff>381000</xdr:colOff>
      <xdr:row>13</xdr:row>
      <xdr:rowOff>85725</xdr:rowOff>
    </xdr:to>
    <xdr:sp>
      <xdr:nvSpPr>
        <xdr:cNvPr id="30" name="Line 30"/>
        <xdr:cNvSpPr>
          <a:spLocks/>
        </xdr:cNvSpPr>
      </xdr:nvSpPr>
      <xdr:spPr>
        <a:xfrm flipV="1">
          <a:off x="3419475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19</xdr:row>
      <xdr:rowOff>66675</xdr:rowOff>
    </xdr:from>
    <xdr:to>
      <xdr:col>7</xdr:col>
      <xdr:colOff>342900</xdr:colOff>
      <xdr:row>20</xdr:row>
      <xdr:rowOff>85725</xdr:rowOff>
    </xdr:to>
    <xdr:sp>
      <xdr:nvSpPr>
        <xdr:cNvPr id="31" name="Line 31"/>
        <xdr:cNvSpPr>
          <a:spLocks/>
        </xdr:cNvSpPr>
      </xdr:nvSpPr>
      <xdr:spPr>
        <a:xfrm flipV="1">
          <a:off x="386715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17</xdr:row>
      <xdr:rowOff>66675</xdr:rowOff>
    </xdr:from>
    <xdr:to>
      <xdr:col>7</xdr:col>
      <xdr:colOff>361950</xdr:colOff>
      <xdr:row>18</xdr:row>
      <xdr:rowOff>85725</xdr:rowOff>
    </xdr:to>
    <xdr:sp>
      <xdr:nvSpPr>
        <xdr:cNvPr id="32" name="Line 32"/>
        <xdr:cNvSpPr>
          <a:spLocks/>
        </xdr:cNvSpPr>
      </xdr:nvSpPr>
      <xdr:spPr>
        <a:xfrm flipV="1">
          <a:off x="38862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57150</xdr:rowOff>
    </xdr:from>
    <xdr:to>
      <xdr:col>7</xdr:col>
      <xdr:colOff>371475</xdr:colOff>
      <xdr:row>16</xdr:row>
      <xdr:rowOff>76200</xdr:rowOff>
    </xdr:to>
    <xdr:sp>
      <xdr:nvSpPr>
        <xdr:cNvPr id="33" name="Line 33"/>
        <xdr:cNvSpPr>
          <a:spLocks/>
        </xdr:cNvSpPr>
      </xdr:nvSpPr>
      <xdr:spPr>
        <a:xfrm flipV="1">
          <a:off x="3895725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13</xdr:row>
      <xdr:rowOff>57150</xdr:rowOff>
    </xdr:from>
    <xdr:to>
      <xdr:col>7</xdr:col>
      <xdr:colOff>381000</xdr:colOff>
      <xdr:row>14</xdr:row>
      <xdr:rowOff>76200</xdr:rowOff>
    </xdr:to>
    <xdr:sp>
      <xdr:nvSpPr>
        <xdr:cNvPr id="34" name="Line 34"/>
        <xdr:cNvSpPr>
          <a:spLocks/>
        </xdr:cNvSpPr>
      </xdr:nvSpPr>
      <xdr:spPr>
        <a:xfrm flipV="1">
          <a:off x="3905250" y="2162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</xdr:row>
      <xdr:rowOff>57150</xdr:rowOff>
    </xdr:from>
    <xdr:to>
      <xdr:col>8</xdr:col>
      <xdr:colOff>361950</xdr:colOff>
      <xdr:row>19</xdr:row>
      <xdr:rowOff>76200</xdr:rowOff>
    </xdr:to>
    <xdr:sp>
      <xdr:nvSpPr>
        <xdr:cNvPr id="35" name="Line 35"/>
        <xdr:cNvSpPr>
          <a:spLocks/>
        </xdr:cNvSpPr>
      </xdr:nvSpPr>
      <xdr:spPr>
        <a:xfrm flipV="1">
          <a:off x="4371975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47625</xdr:rowOff>
    </xdr:from>
    <xdr:to>
      <xdr:col>8</xdr:col>
      <xdr:colOff>371475</xdr:colOff>
      <xdr:row>17</xdr:row>
      <xdr:rowOff>66675</xdr:rowOff>
    </xdr:to>
    <xdr:sp>
      <xdr:nvSpPr>
        <xdr:cNvPr id="36" name="Line 36"/>
        <xdr:cNvSpPr>
          <a:spLocks/>
        </xdr:cNvSpPr>
      </xdr:nvSpPr>
      <xdr:spPr>
        <a:xfrm flipV="1">
          <a:off x="4381500" y="2638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14</xdr:row>
      <xdr:rowOff>47625</xdr:rowOff>
    </xdr:from>
    <xdr:to>
      <xdr:col>8</xdr:col>
      <xdr:colOff>390525</xdr:colOff>
      <xdr:row>15</xdr:row>
      <xdr:rowOff>66675</xdr:rowOff>
    </xdr:to>
    <xdr:sp>
      <xdr:nvSpPr>
        <xdr:cNvPr id="37" name="Line 37"/>
        <xdr:cNvSpPr>
          <a:spLocks/>
        </xdr:cNvSpPr>
      </xdr:nvSpPr>
      <xdr:spPr>
        <a:xfrm flipV="1">
          <a:off x="4400550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17</xdr:row>
      <xdr:rowOff>76200</xdr:rowOff>
    </xdr:from>
    <xdr:to>
      <xdr:col>9</xdr:col>
      <xdr:colOff>352425</xdr:colOff>
      <xdr:row>18</xdr:row>
      <xdr:rowOff>95250</xdr:rowOff>
    </xdr:to>
    <xdr:sp>
      <xdr:nvSpPr>
        <xdr:cNvPr id="38" name="Line 38"/>
        <xdr:cNvSpPr>
          <a:spLocks/>
        </xdr:cNvSpPr>
      </xdr:nvSpPr>
      <xdr:spPr>
        <a:xfrm flipV="1">
          <a:off x="4848225" y="2828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15</xdr:row>
      <xdr:rowOff>57150</xdr:rowOff>
    </xdr:from>
    <xdr:to>
      <xdr:col>9</xdr:col>
      <xdr:colOff>361950</xdr:colOff>
      <xdr:row>16</xdr:row>
      <xdr:rowOff>76200</xdr:rowOff>
    </xdr:to>
    <xdr:sp>
      <xdr:nvSpPr>
        <xdr:cNvPr id="39" name="Line 39"/>
        <xdr:cNvSpPr>
          <a:spLocks/>
        </xdr:cNvSpPr>
      </xdr:nvSpPr>
      <xdr:spPr>
        <a:xfrm flipV="1">
          <a:off x="48577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16</xdr:row>
      <xdr:rowOff>57150</xdr:rowOff>
    </xdr:from>
    <xdr:to>
      <xdr:col>10</xdr:col>
      <xdr:colOff>352425</xdr:colOff>
      <xdr:row>17</xdr:row>
      <xdr:rowOff>76200</xdr:rowOff>
    </xdr:to>
    <xdr:sp>
      <xdr:nvSpPr>
        <xdr:cNvPr id="40" name="Line 40"/>
        <xdr:cNvSpPr>
          <a:spLocks/>
        </xdr:cNvSpPr>
      </xdr:nvSpPr>
      <xdr:spPr>
        <a:xfrm flipV="1">
          <a:off x="53340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19</xdr:row>
      <xdr:rowOff>57150</xdr:rowOff>
    </xdr:from>
    <xdr:to>
      <xdr:col>5</xdr:col>
      <xdr:colOff>352425</xdr:colOff>
      <xdr:row>20</xdr:row>
      <xdr:rowOff>76200</xdr:rowOff>
    </xdr:to>
    <xdr:sp>
      <xdr:nvSpPr>
        <xdr:cNvPr id="41" name="Line 41"/>
        <xdr:cNvSpPr>
          <a:spLocks/>
        </xdr:cNvSpPr>
      </xdr:nvSpPr>
      <xdr:spPr>
        <a:xfrm flipV="1">
          <a:off x="2905125" y="3133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47625</xdr:rowOff>
    </xdr:from>
    <xdr:to>
      <xdr:col>5</xdr:col>
      <xdr:colOff>352425</xdr:colOff>
      <xdr:row>18</xdr:row>
      <xdr:rowOff>66675</xdr:rowOff>
    </xdr:to>
    <xdr:sp>
      <xdr:nvSpPr>
        <xdr:cNvPr id="42" name="Line 42"/>
        <xdr:cNvSpPr>
          <a:spLocks/>
        </xdr:cNvSpPr>
      </xdr:nvSpPr>
      <xdr:spPr>
        <a:xfrm flipV="1">
          <a:off x="2905125" y="280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57150</xdr:rowOff>
    </xdr:from>
    <xdr:to>
      <xdr:col>5</xdr:col>
      <xdr:colOff>361950</xdr:colOff>
      <xdr:row>16</xdr:row>
      <xdr:rowOff>76200</xdr:rowOff>
    </xdr:to>
    <xdr:sp>
      <xdr:nvSpPr>
        <xdr:cNvPr id="43" name="Line 43"/>
        <xdr:cNvSpPr>
          <a:spLocks/>
        </xdr:cNvSpPr>
      </xdr:nvSpPr>
      <xdr:spPr>
        <a:xfrm flipV="1">
          <a:off x="29146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57150</xdr:rowOff>
    </xdr:from>
    <xdr:to>
      <xdr:col>4</xdr:col>
      <xdr:colOff>333375</xdr:colOff>
      <xdr:row>19</xdr:row>
      <xdr:rowOff>76200</xdr:rowOff>
    </xdr:to>
    <xdr:sp>
      <xdr:nvSpPr>
        <xdr:cNvPr id="44" name="Line 44"/>
        <xdr:cNvSpPr>
          <a:spLocks/>
        </xdr:cNvSpPr>
      </xdr:nvSpPr>
      <xdr:spPr>
        <a:xfrm flipV="1">
          <a:off x="24003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16</xdr:row>
      <xdr:rowOff>57150</xdr:rowOff>
    </xdr:from>
    <xdr:to>
      <xdr:col>4</xdr:col>
      <xdr:colOff>342900</xdr:colOff>
      <xdr:row>17</xdr:row>
      <xdr:rowOff>76200</xdr:rowOff>
    </xdr:to>
    <xdr:sp>
      <xdr:nvSpPr>
        <xdr:cNvPr id="45" name="Line 45"/>
        <xdr:cNvSpPr>
          <a:spLocks/>
        </xdr:cNvSpPr>
      </xdr:nvSpPr>
      <xdr:spPr>
        <a:xfrm flipV="1">
          <a:off x="2409825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66675</xdr:rowOff>
    </xdr:from>
    <xdr:to>
      <xdr:col>3</xdr:col>
      <xdr:colOff>323850</xdr:colOff>
      <xdr:row>18</xdr:row>
      <xdr:rowOff>85725</xdr:rowOff>
    </xdr:to>
    <xdr:sp>
      <xdr:nvSpPr>
        <xdr:cNvPr id="46" name="Line 46"/>
        <xdr:cNvSpPr>
          <a:spLocks/>
        </xdr:cNvSpPr>
      </xdr:nvSpPr>
      <xdr:spPr>
        <a:xfrm flipV="1">
          <a:off x="19050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16</xdr:row>
      <xdr:rowOff>57150</xdr:rowOff>
    </xdr:from>
    <xdr:to>
      <xdr:col>2</xdr:col>
      <xdr:colOff>352425</xdr:colOff>
      <xdr:row>17</xdr:row>
      <xdr:rowOff>76200</xdr:rowOff>
    </xdr:to>
    <xdr:sp>
      <xdr:nvSpPr>
        <xdr:cNvPr id="47" name="Line 47"/>
        <xdr:cNvSpPr>
          <a:spLocks/>
        </xdr:cNvSpPr>
      </xdr:nvSpPr>
      <xdr:spPr>
        <a:xfrm flipV="1">
          <a:off x="14478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2</xdr:col>
      <xdr:colOff>133350</xdr:colOff>
      <xdr:row>16</xdr:row>
      <xdr:rowOff>142875</xdr:rowOff>
    </xdr:to>
    <xdr:sp>
      <xdr:nvSpPr>
        <xdr:cNvPr id="48" name="Line 48"/>
        <xdr:cNvSpPr>
          <a:spLocks/>
        </xdr:cNvSpPr>
      </xdr:nvSpPr>
      <xdr:spPr>
        <a:xfrm flipV="1">
          <a:off x="990600" y="26193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19050</xdr:rowOff>
    </xdr:from>
    <xdr:to>
      <xdr:col>3</xdr:col>
      <xdr:colOff>114300</xdr:colOff>
      <xdr:row>15</xdr:row>
      <xdr:rowOff>133350</xdr:rowOff>
    </xdr:to>
    <xdr:sp>
      <xdr:nvSpPr>
        <xdr:cNvPr id="49" name="Line 49"/>
        <xdr:cNvSpPr>
          <a:spLocks/>
        </xdr:cNvSpPr>
      </xdr:nvSpPr>
      <xdr:spPr>
        <a:xfrm flipV="1">
          <a:off x="1457325" y="24479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14</xdr:row>
      <xdr:rowOff>28575</xdr:rowOff>
    </xdr:from>
    <xdr:to>
      <xdr:col>4</xdr:col>
      <xdr:colOff>114300</xdr:colOff>
      <xdr:row>14</xdr:row>
      <xdr:rowOff>142875</xdr:rowOff>
    </xdr:to>
    <xdr:sp>
      <xdr:nvSpPr>
        <xdr:cNvPr id="50" name="Line 50"/>
        <xdr:cNvSpPr>
          <a:spLocks/>
        </xdr:cNvSpPr>
      </xdr:nvSpPr>
      <xdr:spPr>
        <a:xfrm flipV="1">
          <a:off x="1943100" y="22955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28575</xdr:rowOff>
    </xdr:from>
    <xdr:to>
      <xdr:col>5</xdr:col>
      <xdr:colOff>123825</xdr:colOff>
      <xdr:row>13</xdr:row>
      <xdr:rowOff>142875</xdr:rowOff>
    </xdr:to>
    <xdr:sp>
      <xdr:nvSpPr>
        <xdr:cNvPr id="51" name="Line 51"/>
        <xdr:cNvSpPr>
          <a:spLocks/>
        </xdr:cNvSpPr>
      </xdr:nvSpPr>
      <xdr:spPr>
        <a:xfrm flipV="1">
          <a:off x="2438400" y="21336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12</xdr:row>
      <xdr:rowOff>47625</xdr:rowOff>
    </xdr:from>
    <xdr:to>
      <xdr:col>6</xdr:col>
      <xdr:colOff>114300</xdr:colOff>
      <xdr:row>13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2914650" y="19907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133350</xdr:rowOff>
    </xdr:from>
    <xdr:to>
      <xdr:col>2</xdr:col>
      <xdr:colOff>104775</xdr:colOff>
      <xdr:row>15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990600" y="24003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28575</xdr:rowOff>
    </xdr:from>
    <xdr:to>
      <xdr:col>2</xdr:col>
      <xdr:colOff>104775</xdr:colOff>
      <xdr:row>14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90600" y="21336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13</xdr:row>
      <xdr:rowOff>133350</xdr:rowOff>
    </xdr:from>
    <xdr:to>
      <xdr:col>3</xdr:col>
      <xdr:colOff>85725</xdr:colOff>
      <xdr:row>14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1457325" y="2238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152400</xdr:rowOff>
    </xdr:from>
    <xdr:to>
      <xdr:col>2</xdr:col>
      <xdr:colOff>95250</xdr:colOff>
      <xdr:row>11</xdr:row>
      <xdr:rowOff>133350</xdr:rowOff>
    </xdr:to>
    <xdr:sp>
      <xdr:nvSpPr>
        <xdr:cNvPr id="56" name="Line 56"/>
        <xdr:cNvSpPr>
          <a:spLocks/>
        </xdr:cNvSpPr>
      </xdr:nvSpPr>
      <xdr:spPr>
        <a:xfrm>
          <a:off x="981075" y="17716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142875</xdr:rowOff>
    </xdr:from>
    <xdr:to>
      <xdr:col>3</xdr:col>
      <xdr:colOff>85725</xdr:colOff>
      <xdr:row>12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1457325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123825</xdr:rowOff>
    </xdr:from>
    <xdr:to>
      <xdr:col>4</xdr:col>
      <xdr:colOff>95250</xdr:colOff>
      <xdr:row>13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1952625" y="20669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8</xdr:row>
      <xdr:rowOff>123825</xdr:rowOff>
    </xdr:from>
    <xdr:to>
      <xdr:col>2</xdr:col>
      <xdr:colOff>85725</xdr:colOff>
      <xdr:row>9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971550" y="14192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152400</xdr:rowOff>
    </xdr:from>
    <xdr:to>
      <xdr:col>3</xdr:col>
      <xdr:colOff>104775</xdr:colOff>
      <xdr:row>10</xdr:row>
      <xdr:rowOff>133350</xdr:rowOff>
    </xdr:to>
    <xdr:sp>
      <xdr:nvSpPr>
        <xdr:cNvPr id="60" name="Line 60"/>
        <xdr:cNvSpPr>
          <a:spLocks/>
        </xdr:cNvSpPr>
      </xdr:nvSpPr>
      <xdr:spPr>
        <a:xfrm>
          <a:off x="1476375" y="16097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</xdr:row>
      <xdr:rowOff>142875</xdr:rowOff>
    </xdr:from>
    <xdr:to>
      <xdr:col>4</xdr:col>
      <xdr:colOff>95250</xdr:colOff>
      <xdr:row>11</xdr:row>
      <xdr:rowOff>123825</xdr:rowOff>
    </xdr:to>
    <xdr:sp>
      <xdr:nvSpPr>
        <xdr:cNvPr id="61" name="Line 61"/>
        <xdr:cNvSpPr>
          <a:spLocks/>
        </xdr:cNvSpPr>
      </xdr:nvSpPr>
      <xdr:spPr>
        <a:xfrm>
          <a:off x="1952625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11</xdr:row>
      <xdr:rowOff>142875</xdr:rowOff>
    </xdr:from>
    <xdr:to>
      <xdr:col>5</xdr:col>
      <xdr:colOff>95250</xdr:colOff>
      <xdr:row>12</xdr:row>
      <xdr:rowOff>123825</xdr:rowOff>
    </xdr:to>
    <xdr:sp>
      <xdr:nvSpPr>
        <xdr:cNvPr id="62" name="Line 62"/>
        <xdr:cNvSpPr>
          <a:spLocks/>
        </xdr:cNvSpPr>
      </xdr:nvSpPr>
      <xdr:spPr>
        <a:xfrm>
          <a:off x="2438400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123825</xdr:rowOff>
    </xdr:from>
    <xdr:to>
      <xdr:col>2</xdr:col>
      <xdr:colOff>95250</xdr:colOff>
      <xdr:row>7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981075" y="1095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0</xdr:rowOff>
    </xdr:from>
    <xdr:to>
      <xdr:col>3</xdr:col>
      <xdr:colOff>114300</xdr:colOff>
      <xdr:row>8</xdr:row>
      <xdr:rowOff>142875</xdr:rowOff>
    </xdr:to>
    <xdr:sp>
      <xdr:nvSpPr>
        <xdr:cNvPr id="64" name="Line 64"/>
        <xdr:cNvSpPr>
          <a:spLocks/>
        </xdr:cNvSpPr>
      </xdr:nvSpPr>
      <xdr:spPr>
        <a:xfrm>
          <a:off x="1485900" y="12954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</xdr:row>
      <xdr:rowOff>0</xdr:rowOff>
    </xdr:from>
    <xdr:to>
      <xdr:col>4</xdr:col>
      <xdr:colOff>123825</xdr:colOff>
      <xdr:row>9</xdr:row>
      <xdr:rowOff>142875</xdr:rowOff>
    </xdr:to>
    <xdr:sp>
      <xdr:nvSpPr>
        <xdr:cNvPr id="65" name="Line 65"/>
        <xdr:cNvSpPr>
          <a:spLocks/>
        </xdr:cNvSpPr>
      </xdr:nvSpPr>
      <xdr:spPr>
        <a:xfrm>
          <a:off x="1981200" y="14573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9525</xdr:rowOff>
    </xdr:from>
    <xdr:to>
      <xdr:col>5</xdr:col>
      <xdr:colOff>95250</xdr:colOff>
      <xdr:row>10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2438400" y="16287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10</xdr:row>
      <xdr:rowOff>142875</xdr:rowOff>
    </xdr:from>
    <xdr:to>
      <xdr:col>6</xdr:col>
      <xdr:colOff>104775</xdr:colOff>
      <xdr:row>11</xdr:row>
      <xdr:rowOff>123825</xdr:rowOff>
    </xdr:to>
    <xdr:sp>
      <xdr:nvSpPr>
        <xdr:cNvPr id="67" name="Line 67"/>
        <xdr:cNvSpPr>
          <a:spLocks/>
        </xdr:cNvSpPr>
      </xdr:nvSpPr>
      <xdr:spPr>
        <a:xfrm>
          <a:off x="2933700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15</xdr:row>
      <xdr:rowOff>123825</xdr:rowOff>
    </xdr:from>
    <xdr:to>
      <xdr:col>11</xdr:col>
      <xdr:colOff>95250</xdr:colOff>
      <xdr:row>16</xdr:row>
      <xdr:rowOff>76200</xdr:rowOff>
    </xdr:to>
    <xdr:sp>
      <xdr:nvSpPr>
        <xdr:cNvPr id="68" name="Line 68"/>
        <xdr:cNvSpPr>
          <a:spLocks/>
        </xdr:cNvSpPr>
      </xdr:nvSpPr>
      <xdr:spPr>
        <a:xfrm flipH="1" flipV="1">
          <a:off x="5324475" y="25527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14</xdr:row>
      <xdr:rowOff>123825</xdr:rowOff>
    </xdr:from>
    <xdr:to>
      <xdr:col>10</xdr:col>
      <xdr:colOff>95250</xdr:colOff>
      <xdr:row>15</xdr:row>
      <xdr:rowOff>76200</xdr:rowOff>
    </xdr:to>
    <xdr:sp>
      <xdr:nvSpPr>
        <xdr:cNvPr id="69" name="Line 69"/>
        <xdr:cNvSpPr>
          <a:spLocks/>
        </xdr:cNvSpPr>
      </xdr:nvSpPr>
      <xdr:spPr>
        <a:xfrm flipH="1" flipV="1">
          <a:off x="4838700" y="23907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114300</xdr:rowOff>
    </xdr:from>
    <xdr:to>
      <xdr:col>9</xdr:col>
      <xdr:colOff>76200</xdr:colOff>
      <xdr:row>14</xdr:row>
      <xdr:rowOff>66675</xdr:rowOff>
    </xdr:to>
    <xdr:sp>
      <xdr:nvSpPr>
        <xdr:cNvPr id="70" name="Line 70"/>
        <xdr:cNvSpPr>
          <a:spLocks/>
        </xdr:cNvSpPr>
      </xdr:nvSpPr>
      <xdr:spPr>
        <a:xfrm flipH="1" flipV="1">
          <a:off x="4333875" y="22193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142875</xdr:rowOff>
    </xdr:from>
    <xdr:to>
      <xdr:col>8</xdr:col>
      <xdr:colOff>85725</xdr:colOff>
      <xdr:row>13</xdr:row>
      <xdr:rowOff>95250</xdr:rowOff>
    </xdr:to>
    <xdr:sp>
      <xdr:nvSpPr>
        <xdr:cNvPr id="71" name="Line 71"/>
        <xdr:cNvSpPr>
          <a:spLocks/>
        </xdr:cNvSpPr>
      </xdr:nvSpPr>
      <xdr:spPr>
        <a:xfrm flipH="1" flipV="1">
          <a:off x="3857625" y="20859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12</xdr:row>
      <xdr:rowOff>0</xdr:rowOff>
    </xdr:from>
    <xdr:to>
      <xdr:col>7</xdr:col>
      <xdr:colOff>123825</xdr:colOff>
      <xdr:row>12</xdr:row>
      <xdr:rowOff>114300</xdr:rowOff>
    </xdr:to>
    <xdr:sp>
      <xdr:nvSpPr>
        <xdr:cNvPr id="72" name="Line 72"/>
        <xdr:cNvSpPr>
          <a:spLocks/>
        </xdr:cNvSpPr>
      </xdr:nvSpPr>
      <xdr:spPr>
        <a:xfrm flipH="1" flipV="1">
          <a:off x="3409950" y="19431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</xdr:row>
      <xdr:rowOff>133350</xdr:rowOff>
    </xdr:from>
    <xdr:to>
      <xdr:col>11</xdr:col>
      <xdr:colOff>114300</xdr:colOff>
      <xdr:row>7</xdr:row>
      <xdr:rowOff>133350</xdr:rowOff>
    </xdr:to>
    <xdr:sp>
      <xdr:nvSpPr>
        <xdr:cNvPr id="73" name="Line 73"/>
        <xdr:cNvSpPr>
          <a:spLocks/>
        </xdr:cNvSpPr>
      </xdr:nvSpPr>
      <xdr:spPr>
        <a:xfrm flipH="1">
          <a:off x="5362575" y="11049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9525</xdr:rowOff>
    </xdr:from>
    <xdr:to>
      <xdr:col>10</xdr:col>
      <xdr:colOff>114300</xdr:colOff>
      <xdr:row>9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4876800" y="13049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9</xdr:row>
      <xdr:rowOff>9525</xdr:rowOff>
    </xdr:from>
    <xdr:to>
      <xdr:col>9</xdr:col>
      <xdr:colOff>85725</xdr:colOff>
      <xdr:row>10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4362450" y="14668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10</xdr:row>
      <xdr:rowOff>0</xdr:rowOff>
    </xdr:from>
    <xdr:to>
      <xdr:col>8</xdr:col>
      <xdr:colOff>104775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3895725" y="1619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142875</xdr:rowOff>
    </xdr:from>
    <xdr:to>
      <xdr:col>7</xdr:col>
      <xdr:colOff>114300</xdr:colOff>
      <xdr:row>11</xdr:row>
      <xdr:rowOff>142875</xdr:rowOff>
    </xdr:to>
    <xdr:sp>
      <xdr:nvSpPr>
        <xdr:cNvPr id="77" name="Line 77"/>
        <xdr:cNvSpPr>
          <a:spLocks/>
        </xdr:cNvSpPr>
      </xdr:nvSpPr>
      <xdr:spPr>
        <a:xfrm flipH="1">
          <a:off x="34194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8</xdr:row>
      <xdr:rowOff>123825</xdr:rowOff>
    </xdr:from>
    <xdr:to>
      <xdr:col>11</xdr:col>
      <xdr:colOff>114300</xdr:colOff>
      <xdr:row>9</xdr:row>
      <xdr:rowOff>123825</xdr:rowOff>
    </xdr:to>
    <xdr:sp>
      <xdr:nvSpPr>
        <xdr:cNvPr id="78" name="Line 78"/>
        <xdr:cNvSpPr>
          <a:spLocks/>
        </xdr:cNvSpPr>
      </xdr:nvSpPr>
      <xdr:spPr>
        <a:xfrm flipH="1">
          <a:off x="5362575" y="14192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9</xdr:row>
      <xdr:rowOff>142875</xdr:rowOff>
    </xdr:from>
    <xdr:to>
      <xdr:col>10</xdr:col>
      <xdr:colOff>95250</xdr:colOff>
      <xdr:row>10</xdr:row>
      <xdr:rowOff>142875</xdr:rowOff>
    </xdr:to>
    <xdr:sp>
      <xdr:nvSpPr>
        <xdr:cNvPr id="79" name="Line 79"/>
        <xdr:cNvSpPr>
          <a:spLocks/>
        </xdr:cNvSpPr>
      </xdr:nvSpPr>
      <xdr:spPr>
        <a:xfrm flipH="1">
          <a:off x="4857750" y="16002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</xdr:row>
      <xdr:rowOff>142875</xdr:rowOff>
    </xdr:from>
    <xdr:to>
      <xdr:col>9</xdr:col>
      <xdr:colOff>95250</xdr:colOff>
      <xdr:row>11</xdr:row>
      <xdr:rowOff>142875</xdr:rowOff>
    </xdr:to>
    <xdr:sp>
      <xdr:nvSpPr>
        <xdr:cNvPr id="80" name="Line 80"/>
        <xdr:cNvSpPr>
          <a:spLocks/>
        </xdr:cNvSpPr>
      </xdr:nvSpPr>
      <xdr:spPr>
        <a:xfrm flipH="1">
          <a:off x="43719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11</xdr:row>
      <xdr:rowOff>114300</xdr:rowOff>
    </xdr:from>
    <xdr:to>
      <xdr:col>8</xdr:col>
      <xdr:colOff>76200</xdr:colOff>
      <xdr:row>12</xdr:row>
      <xdr:rowOff>114300</xdr:rowOff>
    </xdr:to>
    <xdr:sp>
      <xdr:nvSpPr>
        <xdr:cNvPr id="81" name="Line 81"/>
        <xdr:cNvSpPr>
          <a:spLocks/>
        </xdr:cNvSpPr>
      </xdr:nvSpPr>
      <xdr:spPr>
        <a:xfrm flipH="1">
          <a:off x="3867150" y="189547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10</xdr:row>
      <xdr:rowOff>133350</xdr:rowOff>
    </xdr:from>
    <xdr:to>
      <xdr:col>11</xdr:col>
      <xdr:colOff>85725</xdr:colOff>
      <xdr:row>11</xdr:row>
      <xdr:rowOff>133350</xdr:rowOff>
    </xdr:to>
    <xdr:sp>
      <xdr:nvSpPr>
        <xdr:cNvPr id="82" name="Line 82"/>
        <xdr:cNvSpPr>
          <a:spLocks/>
        </xdr:cNvSpPr>
      </xdr:nvSpPr>
      <xdr:spPr>
        <a:xfrm flipH="1">
          <a:off x="5334000" y="17526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133350</xdr:rowOff>
    </xdr:from>
    <xdr:to>
      <xdr:col>10</xdr:col>
      <xdr:colOff>85725</xdr:colOff>
      <xdr:row>12</xdr:row>
      <xdr:rowOff>133350</xdr:rowOff>
    </xdr:to>
    <xdr:sp>
      <xdr:nvSpPr>
        <xdr:cNvPr id="83" name="Line 83"/>
        <xdr:cNvSpPr>
          <a:spLocks/>
        </xdr:cNvSpPr>
      </xdr:nvSpPr>
      <xdr:spPr>
        <a:xfrm flipH="1">
          <a:off x="4848225" y="19145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114300</xdr:rowOff>
    </xdr:from>
    <xdr:to>
      <xdr:col>9</xdr:col>
      <xdr:colOff>85725</xdr:colOff>
      <xdr:row>13</xdr:row>
      <xdr:rowOff>114300</xdr:rowOff>
    </xdr:to>
    <xdr:sp>
      <xdr:nvSpPr>
        <xdr:cNvPr id="84" name="#86"/>
        <xdr:cNvSpPr>
          <a:spLocks/>
        </xdr:cNvSpPr>
      </xdr:nvSpPr>
      <xdr:spPr>
        <a:xfrm flipH="1">
          <a:off x="4362450" y="20574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12</xdr:row>
      <xdr:rowOff>76200</xdr:rowOff>
    </xdr:from>
    <xdr:to>
      <xdr:col>11</xdr:col>
      <xdr:colOff>133350</xdr:colOff>
      <xdr:row>13</xdr:row>
      <xdr:rowOff>76200</xdr:rowOff>
    </xdr:to>
    <xdr:sp>
      <xdr:nvSpPr>
        <xdr:cNvPr id="85" name="Line 85"/>
        <xdr:cNvSpPr>
          <a:spLocks/>
        </xdr:cNvSpPr>
      </xdr:nvSpPr>
      <xdr:spPr>
        <a:xfrm flipH="1">
          <a:off x="5381625" y="20193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13</xdr:row>
      <xdr:rowOff>104775</xdr:rowOff>
    </xdr:from>
    <xdr:to>
      <xdr:col>10</xdr:col>
      <xdr:colOff>76200</xdr:colOff>
      <xdr:row>14</xdr:row>
      <xdr:rowOff>104775</xdr:rowOff>
    </xdr:to>
    <xdr:sp>
      <xdr:nvSpPr>
        <xdr:cNvPr id="86" name="Line 86"/>
        <xdr:cNvSpPr>
          <a:spLocks/>
        </xdr:cNvSpPr>
      </xdr:nvSpPr>
      <xdr:spPr>
        <a:xfrm flipH="1">
          <a:off x="4838700" y="22098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14</xdr:row>
      <xdr:rowOff>114300</xdr:rowOff>
    </xdr:from>
    <xdr:to>
      <xdr:col>11</xdr:col>
      <xdr:colOff>85725</xdr:colOff>
      <xdr:row>15</xdr:row>
      <xdr:rowOff>114300</xdr:rowOff>
    </xdr:to>
    <xdr:sp>
      <xdr:nvSpPr>
        <xdr:cNvPr id="87" name="Line 87"/>
        <xdr:cNvSpPr>
          <a:spLocks/>
        </xdr:cNvSpPr>
      </xdr:nvSpPr>
      <xdr:spPr>
        <a:xfrm flipH="1">
          <a:off x="5334000" y="2381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66675</xdr:rowOff>
    </xdr:from>
    <xdr:to>
      <xdr:col>3</xdr:col>
      <xdr:colOff>342900</xdr:colOff>
      <xdr:row>16</xdr:row>
      <xdr:rowOff>85725</xdr:rowOff>
    </xdr:to>
    <xdr:sp>
      <xdr:nvSpPr>
        <xdr:cNvPr id="88" name="Line 88"/>
        <xdr:cNvSpPr>
          <a:spLocks/>
        </xdr:cNvSpPr>
      </xdr:nvSpPr>
      <xdr:spPr>
        <a:xfrm flipV="1">
          <a:off x="1924050" y="2495550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14</xdr:row>
      <xdr:rowOff>47625</xdr:rowOff>
    </xdr:from>
    <xdr:to>
      <xdr:col>4</xdr:col>
      <xdr:colOff>333375</xdr:colOff>
      <xdr:row>15</xdr:row>
      <xdr:rowOff>66675</xdr:rowOff>
    </xdr:to>
    <xdr:sp>
      <xdr:nvSpPr>
        <xdr:cNvPr id="89" name="Line 89"/>
        <xdr:cNvSpPr>
          <a:spLocks/>
        </xdr:cNvSpPr>
      </xdr:nvSpPr>
      <xdr:spPr>
        <a:xfrm flipV="1">
          <a:off x="2400300" y="2314575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</xdr:row>
      <xdr:rowOff>47625</xdr:rowOff>
    </xdr:from>
    <xdr:to>
      <xdr:col>5</xdr:col>
      <xdr:colOff>333375</xdr:colOff>
      <xdr:row>14</xdr:row>
      <xdr:rowOff>66675</xdr:rowOff>
    </xdr:to>
    <xdr:sp>
      <xdr:nvSpPr>
        <xdr:cNvPr id="90" name="Line 90"/>
        <xdr:cNvSpPr>
          <a:spLocks/>
        </xdr:cNvSpPr>
      </xdr:nvSpPr>
      <xdr:spPr>
        <a:xfrm flipV="1">
          <a:off x="2886075" y="2152650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</xdr:row>
      <xdr:rowOff>85725</xdr:rowOff>
    </xdr:from>
    <xdr:to>
      <xdr:col>6</xdr:col>
      <xdr:colOff>352425</xdr:colOff>
      <xdr:row>3</xdr:row>
      <xdr:rowOff>123825</xdr:rowOff>
    </xdr:to>
    <xdr:sp>
      <xdr:nvSpPr>
        <xdr:cNvPr id="91" name="Line 91"/>
        <xdr:cNvSpPr>
          <a:spLocks/>
        </xdr:cNvSpPr>
      </xdr:nvSpPr>
      <xdr:spPr>
        <a:xfrm>
          <a:off x="3381375" y="4095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361950</xdr:colOff>
      <xdr:row>5</xdr:row>
      <xdr:rowOff>123825</xdr:rowOff>
    </xdr:to>
    <xdr:sp>
      <xdr:nvSpPr>
        <xdr:cNvPr id="92" name="Line 92"/>
        <xdr:cNvSpPr>
          <a:spLocks/>
        </xdr:cNvSpPr>
      </xdr:nvSpPr>
      <xdr:spPr>
        <a:xfrm>
          <a:off x="339090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85725</xdr:rowOff>
    </xdr:from>
    <xdr:to>
      <xdr:col>6</xdr:col>
      <xdr:colOff>371475</xdr:colOff>
      <xdr:row>7</xdr:row>
      <xdr:rowOff>123825</xdr:rowOff>
    </xdr:to>
    <xdr:sp>
      <xdr:nvSpPr>
        <xdr:cNvPr id="93" name="Line 93"/>
        <xdr:cNvSpPr>
          <a:spLocks/>
        </xdr:cNvSpPr>
      </xdr:nvSpPr>
      <xdr:spPr>
        <a:xfrm>
          <a:off x="340042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8</xdr:row>
      <xdr:rowOff>85725</xdr:rowOff>
    </xdr:from>
    <xdr:to>
      <xdr:col>6</xdr:col>
      <xdr:colOff>371475</xdr:colOff>
      <xdr:row>9</xdr:row>
      <xdr:rowOff>123825</xdr:rowOff>
    </xdr:to>
    <xdr:sp>
      <xdr:nvSpPr>
        <xdr:cNvPr id="94" name="Line 94"/>
        <xdr:cNvSpPr>
          <a:spLocks/>
        </xdr:cNvSpPr>
      </xdr:nvSpPr>
      <xdr:spPr>
        <a:xfrm>
          <a:off x="3400425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</xdr:row>
      <xdr:rowOff>85725</xdr:rowOff>
    </xdr:from>
    <xdr:to>
      <xdr:col>6</xdr:col>
      <xdr:colOff>381000</xdr:colOff>
      <xdr:row>11</xdr:row>
      <xdr:rowOff>123825</xdr:rowOff>
    </xdr:to>
    <xdr:sp>
      <xdr:nvSpPr>
        <xdr:cNvPr id="95" name="Line 95"/>
        <xdr:cNvSpPr>
          <a:spLocks/>
        </xdr:cNvSpPr>
      </xdr:nvSpPr>
      <xdr:spPr>
        <a:xfrm>
          <a:off x="3409950" y="1704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76200</xdr:rowOff>
    </xdr:from>
    <xdr:to>
      <xdr:col>7</xdr:col>
      <xdr:colOff>381000</xdr:colOff>
      <xdr:row>4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3895725" y="561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76200</xdr:rowOff>
    </xdr:from>
    <xdr:to>
      <xdr:col>7</xdr:col>
      <xdr:colOff>381000</xdr:colOff>
      <xdr:row>6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389572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7</xdr:row>
      <xdr:rowOff>76200</xdr:rowOff>
    </xdr:from>
    <xdr:to>
      <xdr:col>7</xdr:col>
      <xdr:colOff>381000</xdr:colOff>
      <xdr:row>8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38957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9</xdr:row>
      <xdr:rowOff>76200</xdr:rowOff>
    </xdr:from>
    <xdr:to>
      <xdr:col>7</xdr:col>
      <xdr:colOff>371475</xdr:colOff>
      <xdr:row>10</xdr:row>
      <xdr:rowOff>114300</xdr:rowOff>
    </xdr:to>
    <xdr:sp>
      <xdr:nvSpPr>
        <xdr:cNvPr id="99" name="Line 99"/>
        <xdr:cNvSpPr>
          <a:spLocks/>
        </xdr:cNvSpPr>
      </xdr:nvSpPr>
      <xdr:spPr>
        <a:xfrm>
          <a:off x="3886200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361950</xdr:colOff>
      <xdr:row>5</xdr:row>
      <xdr:rowOff>123825</xdr:rowOff>
    </xdr:to>
    <xdr:sp>
      <xdr:nvSpPr>
        <xdr:cNvPr id="100" name="Line 100"/>
        <xdr:cNvSpPr>
          <a:spLocks/>
        </xdr:cNvSpPr>
      </xdr:nvSpPr>
      <xdr:spPr>
        <a:xfrm>
          <a:off x="436245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76200</xdr:rowOff>
    </xdr:from>
    <xdr:to>
      <xdr:col>8</xdr:col>
      <xdr:colOff>371475</xdr:colOff>
      <xdr:row>7</xdr:row>
      <xdr:rowOff>114300</xdr:rowOff>
    </xdr:to>
    <xdr:sp>
      <xdr:nvSpPr>
        <xdr:cNvPr id="101" name="Line 101"/>
        <xdr:cNvSpPr>
          <a:spLocks/>
        </xdr:cNvSpPr>
      </xdr:nvSpPr>
      <xdr:spPr>
        <a:xfrm>
          <a:off x="4371975" y="104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76200</xdr:rowOff>
    </xdr:from>
    <xdr:to>
      <xdr:col>8</xdr:col>
      <xdr:colOff>371475</xdr:colOff>
      <xdr:row>9</xdr:row>
      <xdr:rowOff>114300</xdr:rowOff>
    </xdr:to>
    <xdr:sp>
      <xdr:nvSpPr>
        <xdr:cNvPr id="102" name="Line 102"/>
        <xdr:cNvSpPr>
          <a:spLocks/>
        </xdr:cNvSpPr>
      </xdr:nvSpPr>
      <xdr:spPr>
        <a:xfrm>
          <a:off x="4371975" y="13716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85725</xdr:rowOff>
    </xdr:from>
    <xdr:to>
      <xdr:col>9</xdr:col>
      <xdr:colOff>361950</xdr:colOff>
      <xdr:row>6</xdr:row>
      <xdr:rowOff>123825</xdr:rowOff>
    </xdr:to>
    <xdr:sp>
      <xdr:nvSpPr>
        <xdr:cNvPr id="103" name="Line 103"/>
        <xdr:cNvSpPr>
          <a:spLocks/>
        </xdr:cNvSpPr>
      </xdr:nvSpPr>
      <xdr:spPr>
        <a:xfrm>
          <a:off x="4848225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76200</xdr:rowOff>
    </xdr:from>
    <xdr:to>
      <xdr:col>9</xdr:col>
      <xdr:colOff>361950</xdr:colOff>
      <xdr:row>8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48482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6</xdr:row>
      <xdr:rowOff>85725</xdr:rowOff>
    </xdr:from>
    <xdr:to>
      <xdr:col>10</xdr:col>
      <xdr:colOff>352425</xdr:colOff>
      <xdr:row>7</xdr:row>
      <xdr:rowOff>123825</xdr:rowOff>
    </xdr:to>
    <xdr:sp>
      <xdr:nvSpPr>
        <xdr:cNvPr id="105" name="Line 105"/>
        <xdr:cNvSpPr>
          <a:spLocks/>
        </xdr:cNvSpPr>
      </xdr:nvSpPr>
      <xdr:spPr>
        <a:xfrm>
          <a:off x="532447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</xdr:row>
      <xdr:rowOff>85725</xdr:rowOff>
    </xdr:from>
    <xdr:to>
      <xdr:col>5</xdr:col>
      <xdr:colOff>371475</xdr:colOff>
      <xdr:row>4</xdr:row>
      <xdr:rowOff>123825</xdr:rowOff>
    </xdr:to>
    <xdr:sp>
      <xdr:nvSpPr>
        <xdr:cNvPr id="106" name="Line 106"/>
        <xdr:cNvSpPr>
          <a:spLocks/>
        </xdr:cNvSpPr>
      </xdr:nvSpPr>
      <xdr:spPr>
        <a:xfrm>
          <a:off x="2914650" y="5715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76200</xdr:rowOff>
    </xdr:from>
    <xdr:to>
      <xdr:col>5</xdr:col>
      <xdr:colOff>381000</xdr:colOff>
      <xdr:row>6</xdr:row>
      <xdr:rowOff>114300</xdr:rowOff>
    </xdr:to>
    <xdr:sp>
      <xdr:nvSpPr>
        <xdr:cNvPr id="107" name="Line 107"/>
        <xdr:cNvSpPr>
          <a:spLocks/>
        </xdr:cNvSpPr>
      </xdr:nvSpPr>
      <xdr:spPr>
        <a:xfrm>
          <a:off x="292417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95250</xdr:rowOff>
    </xdr:from>
    <xdr:to>
      <xdr:col>5</xdr:col>
      <xdr:colOff>381000</xdr:colOff>
      <xdr:row>8</xdr:row>
      <xdr:rowOff>133350</xdr:rowOff>
    </xdr:to>
    <xdr:sp>
      <xdr:nvSpPr>
        <xdr:cNvPr id="108" name="Line 108"/>
        <xdr:cNvSpPr>
          <a:spLocks/>
        </xdr:cNvSpPr>
      </xdr:nvSpPr>
      <xdr:spPr>
        <a:xfrm>
          <a:off x="2924175" y="12287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381000</xdr:colOff>
      <xdr:row>10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2924175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</xdr:row>
      <xdr:rowOff>95250</xdr:rowOff>
    </xdr:from>
    <xdr:to>
      <xdr:col>4</xdr:col>
      <xdr:colOff>361950</xdr:colOff>
      <xdr:row>5</xdr:row>
      <xdr:rowOff>133350</xdr:rowOff>
    </xdr:to>
    <xdr:sp>
      <xdr:nvSpPr>
        <xdr:cNvPr id="110" name="Line 110"/>
        <xdr:cNvSpPr>
          <a:spLocks/>
        </xdr:cNvSpPr>
      </xdr:nvSpPr>
      <xdr:spPr>
        <a:xfrm>
          <a:off x="2419350" y="7429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6</xdr:row>
      <xdr:rowOff>66675</xdr:rowOff>
    </xdr:from>
    <xdr:to>
      <xdr:col>4</xdr:col>
      <xdr:colOff>371475</xdr:colOff>
      <xdr:row>7</xdr:row>
      <xdr:rowOff>104775</xdr:rowOff>
    </xdr:to>
    <xdr:sp>
      <xdr:nvSpPr>
        <xdr:cNvPr id="111" name="Line 111"/>
        <xdr:cNvSpPr>
          <a:spLocks/>
        </xdr:cNvSpPr>
      </xdr:nvSpPr>
      <xdr:spPr>
        <a:xfrm>
          <a:off x="2428875" y="10382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85725</xdr:rowOff>
    </xdr:from>
    <xdr:to>
      <xdr:col>4</xdr:col>
      <xdr:colOff>361950</xdr:colOff>
      <xdr:row>9</xdr:row>
      <xdr:rowOff>123825</xdr:rowOff>
    </xdr:to>
    <xdr:sp>
      <xdr:nvSpPr>
        <xdr:cNvPr id="112" name="Line 112"/>
        <xdr:cNvSpPr>
          <a:spLocks/>
        </xdr:cNvSpPr>
      </xdr:nvSpPr>
      <xdr:spPr>
        <a:xfrm>
          <a:off x="2419350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</xdr:row>
      <xdr:rowOff>85725</xdr:rowOff>
    </xdr:from>
    <xdr:to>
      <xdr:col>3</xdr:col>
      <xdr:colOff>390525</xdr:colOff>
      <xdr:row>6</xdr:row>
      <xdr:rowOff>123825</xdr:rowOff>
    </xdr:to>
    <xdr:sp>
      <xdr:nvSpPr>
        <xdr:cNvPr id="113" name="Line 113"/>
        <xdr:cNvSpPr>
          <a:spLocks/>
        </xdr:cNvSpPr>
      </xdr:nvSpPr>
      <xdr:spPr>
        <a:xfrm>
          <a:off x="1962150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</xdr:row>
      <xdr:rowOff>66675</xdr:rowOff>
    </xdr:from>
    <xdr:to>
      <xdr:col>3</xdr:col>
      <xdr:colOff>390525</xdr:colOff>
      <xdr:row>8</xdr:row>
      <xdr:rowOff>104775</xdr:rowOff>
    </xdr:to>
    <xdr:sp>
      <xdr:nvSpPr>
        <xdr:cNvPr id="114" name="Line 114"/>
        <xdr:cNvSpPr>
          <a:spLocks/>
        </xdr:cNvSpPr>
      </xdr:nvSpPr>
      <xdr:spPr>
        <a:xfrm>
          <a:off x="1962150" y="12001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6</xdr:row>
      <xdr:rowOff>85725</xdr:rowOff>
    </xdr:from>
    <xdr:to>
      <xdr:col>2</xdr:col>
      <xdr:colOff>381000</xdr:colOff>
      <xdr:row>7</xdr:row>
      <xdr:rowOff>123825</xdr:rowOff>
    </xdr:to>
    <xdr:sp>
      <xdr:nvSpPr>
        <xdr:cNvPr id="115" name="Line 115"/>
        <xdr:cNvSpPr>
          <a:spLocks/>
        </xdr:cNvSpPr>
      </xdr:nvSpPr>
      <xdr:spPr>
        <a:xfrm>
          <a:off x="1466850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57150</xdr:rowOff>
    </xdr:from>
    <xdr:to>
      <xdr:col>6</xdr:col>
      <xdr:colOff>342900</xdr:colOff>
      <xdr:row>21</xdr:row>
      <xdr:rowOff>76200</xdr:rowOff>
    </xdr:to>
    <xdr:sp>
      <xdr:nvSpPr>
        <xdr:cNvPr id="116" name="Line 116"/>
        <xdr:cNvSpPr>
          <a:spLocks/>
        </xdr:cNvSpPr>
      </xdr:nvSpPr>
      <xdr:spPr>
        <a:xfrm flipV="1">
          <a:off x="3381375" y="3295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57150</xdr:rowOff>
    </xdr:from>
    <xdr:to>
      <xdr:col>6</xdr:col>
      <xdr:colOff>352425</xdr:colOff>
      <xdr:row>19</xdr:row>
      <xdr:rowOff>76200</xdr:rowOff>
    </xdr:to>
    <xdr:sp>
      <xdr:nvSpPr>
        <xdr:cNvPr id="117" name="Line 117"/>
        <xdr:cNvSpPr>
          <a:spLocks/>
        </xdr:cNvSpPr>
      </xdr:nvSpPr>
      <xdr:spPr>
        <a:xfrm flipV="1">
          <a:off x="33909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16</xdr:row>
      <xdr:rowOff>57150</xdr:rowOff>
    </xdr:from>
    <xdr:to>
      <xdr:col>6</xdr:col>
      <xdr:colOff>352425</xdr:colOff>
      <xdr:row>17</xdr:row>
      <xdr:rowOff>76200</xdr:rowOff>
    </xdr:to>
    <xdr:sp>
      <xdr:nvSpPr>
        <xdr:cNvPr id="118" name="Line 118"/>
        <xdr:cNvSpPr>
          <a:spLocks/>
        </xdr:cNvSpPr>
      </xdr:nvSpPr>
      <xdr:spPr>
        <a:xfrm flipV="1">
          <a:off x="33909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14</xdr:row>
      <xdr:rowOff>47625</xdr:rowOff>
    </xdr:from>
    <xdr:to>
      <xdr:col>6</xdr:col>
      <xdr:colOff>361950</xdr:colOff>
      <xdr:row>15</xdr:row>
      <xdr:rowOff>66675</xdr:rowOff>
    </xdr:to>
    <xdr:sp>
      <xdr:nvSpPr>
        <xdr:cNvPr id="119" name="Line 119"/>
        <xdr:cNvSpPr>
          <a:spLocks/>
        </xdr:cNvSpPr>
      </xdr:nvSpPr>
      <xdr:spPr>
        <a:xfrm flipV="1">
          <a:off x="3400425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66675</xdr:rowOff>
    </xdr:from>
    <xdr:to>
      <xdr:col>6</xdr:col>
      <xdr:colOff>381000</xdr:colOff>
      <xdr:row>13</xdr:row>
      <xdr:rowOff>85725</xdr:rowOff>
    </xdr:to>
    <xdr:sp>
      <xdr:nvSpPr>
        <xdr:cNvPr id="120" name="Line 120"/>
        <xdr:cNvSpPr>
          <a:spLocks/>
        </xdr:cNvSpPr>
      </xdr:nvSpPr>
      <xdr:spPr>
        <a:xfrm flipV="1">
          <a:off x="3419475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19</xdr:row>
      <xdr:rowOff>66675</xdr:rowOff>
    </xdr:from>
    <xdr:to>
      <xdr:col>7</xdr:col>
      <xdr:colOff>342900</xdr:colOff>
      <xdr:row>20</xdr:row>
      <xdr:rowOff>85725</xdr:rowOff>
    </xdr:to>
    <xdr:sp>
      <xdr:nvSpPr>
        <xdr:cNvPr id="121" name="Line 121"/>
        <xdr:cNvSpPr>
          <a:spLocks/>
        </xdr:cNvSpPr>
      </xdr:nvSpPr>
      <xdr:spPr>
        <a:xfrm flipV="1">
          <a:off x="386715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17</xdr:row>
      <xdr:rowOff>66675</xdr:rowOff>
    </xdr:from>
    <xdr:to>
      <xdr:col>7</xdr:col>
      <xdr:colOff>361950</xdr:colOff>
      <xdr:row>18</xdr:row>
      <xdr:rowOff>85725</xdr:rowOff>
    </xdr:to>
    <xdr:sp>
      <xdr:nvSpPr>
        <xdr:cNvPr id="122" name="Line 122"/>
        <xdr:cNvSpPr>
          <a:spLocks/>
        </xdr:cNvSpPr>
      </xdr:nvSpPr>
      <xdr:spPr>
        <a:xfrm flipV="1">
          <a:off x="38862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57150</xdr:rowOff>
    </xdr:from>
    <xdr:to>
      <xdr:col>7</xdr:col>
      <xdr:colOff>371475</xdr:colOff>
      <xdr:row>16</xdr:row>
      <xdr:rowOff>76200</xdr:rowOff>
    </xdr:to>
    <xdr:sp>
      <xdr:nvSpPr>
        <xdr:cNvPr id="123" name="Line 123"/>
        <xdr:cNvSpPr>
          <a:spLocks/>
        </xdr:cNvSpPr>
      </xdr:nvSpPr>
      <xdr:spPr>
        <a:xfrm flipV="1">
          <a:off x="3895725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13</xdr:row>
      <xdr:rowOff>57150</xdr:rowOff>
    </xdr:from>
    <xdr:to>
      <xdr:col>7</xdr:col>
      <xdr:colOff>381000</xdr:colOff>
      <xdr:row>14</xdr:row>
      <xdr:rowOff>76200</xdr:rowOff>
    </xdr:to>
    <xdr:sp>
      <xdr:nvSpPr>
        <xdr:cNvPr id="124" name="Line 124"/>
        <xdr:cNvSpPr>
          <a:spLocks/>
        </xdr:cNvSpPr>
      </xdr:nvSpPr>
      <xdr:spPr>
        <a:xfrm flipV="1">
          <a:off x="3905250" y="2162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</xdr:row>
      <xdr:rowOff>57150</xdr:rowOff>
    </xdr:from>
    <xdr:to>
      <xdr:col>8</xdr:col>
      <xdr:colOff>361950</xdr:colOff>
      <xdr:row>19</xdr:row>
      <xdr:rowOff>76200</xdr:rowOff>
    </xdr:to>
    <xdr:sp>
      <xdr:nvSpPr>
        <xdr:cNvPr id="125" name="Line 125"/>
        <xdr:cNvSpPr>
          <a:spLocks/>
        </xdr:cNvSpPr>
      </xdr:nvSpPr>
      <xdr:spPr>
        <a:xfrm flipV="1">
          <a:off x="4371975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47625</xdr:rowOff>
    </xdr:from>
    <xdr:to>
      <xdr:col>8</xdr:col>
      <xdr:colOff>371475</xdr:colOff>
      <xdr:row>17</xdr:row>
      <xdr:rowOff>66675</xdr:rowOff>
    </xdr:to>
    <xdr:sp>
      <xdr:nvSpPr>
        <xdr:cNvPr id="126" name="Line 126"/>
        <xdr:cNvSpPr>
          <a:spLocks/>
        </xdr:cNvSpPr>
      </xdr:nvSpPr>
      <xdr:spPr>
        <a:xfrm flipV="1">
          <a:off x="4381500" y="2638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14</xdr:row>
      <xdr:rowOff>47625</xdr:rowOff>
    </xdr:from>
    <xdr:to>
      <xdr:col>8</xdr:col>
      <xdr:colOff>390525</xdr:colOff>
      <xdr:row>15</xdr:row>
      <xdr:rowOff>66675</xdr:rowOff>
    </xdr:to>
    <xdr:sp>
      <xdr:nvSpPr>
        <xdr:cNvPr id="127" name="Line 127"/>
        <xdr:cNvSpPr>
          <a:spLocks/>
        </xdr:cNvSpPr>
      </xdr:nvSpPr>
      <xdr:spPr>
        <a:xfrm flipV="1">
          <a:off x="4400550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17</xdr:row>
      <xdr:rowOff>76200</xdr:rowOff>
    </xdr:from>
    <xdr:to>
      <xdr:col>9</xdr:col>
      <xdr:colOff>352425</xdr:colOff>
      <xdr:row>18</xdr:row>
      <xdr:rowOff>95250</xdr:rowOff>
    </xdr:to>
    <xdr:sp>
      <xdr:nvSpPr>
        <xdr:cNvPr id="128" name="Line 128"/>
        <xdr:cNvSpPr>
          <a:spLocks/>
        </xdr:cNvSpPr>
      </xdr:nvSpPr>
      <xdr:spPr>
        <a:xfrm flipV="1">
          <a:off x="4848225" y="2828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15</xdr:row>
      <xdr:rowOff>57150</xdr:rowOff>
    </xdr:from>
    <xdr:to>
      <xdr:col>9</xdr:col>
      <xdr:colOff>361950</xdr:colOff>
      <xdr:row>16</xdr:row>
      <xdr:rowOff>76200</xdr:rowOff>
    </xdr:to>
    <xdr:sp>
      <xdr:nvSpPr>
        <xdr:cNvPr id="129" name="Line 129"/>
        <xdr:cNvSpPr>
          <a:spLocks/>
        </xdr:cNvSpPr>
      </xdr:nvSpPr>
      <xdr:spPr>
        <a:xfrm flipV="1">
          <a:off x="48577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16</xdr:row>
      <xdr:rowOff>57150</xdr:rowOff>
    </xdr:from>
    <xdr:to>
      <xdr:col>10</xdr:col>
      <xdr:colOff>352425</xdr:colOff>
      <xdr:row>17</xdr:row>
      <xdr:rowOff>76200</xdr:rowOff>
    </xdr:to>
    <xdr:sp>
      <xdr:nvSpPr>
        <xdr:cNvPr id="130" name="Line 130"/>
        <xdr:cNvSpPr>
          <a:spLocks/>
        </xdr:cNvSpPr>
      </xdr:nvSpPr>
      <xdr:spPr>
        <a:xfrm flipV="1">
          <a:off x="53340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19</xdr:row>
      <xdr:rowOff>57150</xdr:rowOff>
    </xdr:from>
    <xdr:to>
      <xdr:col>5</xdr:col>
      <xdr:colOff>352425</xdr:colOff>
      <xdr:row>20</xdr:row>
      <xdr:rowOff>76200</xdr:rowOff>
    </xdr:to>
    <xdr:sp>
      <xdr:nvSpPr>
        <xdr:cNvPr id="131" name="Line 131"/>
        <xdr:cNvSpPr>
          <a:spLocks/>
        </xdr:cNvSpPr>
      </xdr:nvSpPr>
      <xdr:spPr>
        <a:xfrm flipV="1">
          <a:off x="2905125" y="3133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47625</xdr:rowOff>
    </xdr:from>
    <xdr:to>
      <xdr:col>5</xdr:col>
      <xdr:colOff>352425</xdr:colOff>
      <xdr:row>18</xdr:row>
      <xdr:rowOff>66675</xdr:rowOff>
    </xdr:to>
    <xdr:sp>
      <xdr:nvSpPr>
        <xdr:cNvPr id="132" name="Line 132"/>
        <xdr:cNvSpPr>
          <a:spLocks/>
        </xdr:cNvSpPr>
      </xdr:nvSpPr>
      <xdr:spPr>
        <a:xfrm flipV="1">
          <a:off x="2905125" y="280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57150</xdr:rowOff>
    </xdr:from>
    <xdr:to>
      <xdr:col>5</xdr:col>
      <xdr:colOff>361950</xdr:colOff>
      <xdr:row>16</xdr:row>
      <xdr:rowOff>76200</xdr:rowOff>
    </xdr:to>
    <xdr:sp>
      <xdr:nvSpPr>
        <xdr:cNvPr id="133" name="Line 133"/>
        <xdr:cNvSpPr>
          <a:spLocks/>
        </xdr:cNvSpPr>
      </xdr:nvSpPr>
      <xdr:spPr>
        <a:xfrm flipV="1">
          <a:off x="29146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57150</xdr:rowOff>
    </xdr:from>
    <xdr:to>
      <xdr:col>4</xdr:col>
      <xdr:colOff>333375</xdr:colOff>
      <xdr:row>19</xdr:row>
      <xdr:rowOff>76200</xdr:rowOff>
    </xdr:to>
    <xdr:sp>
      <xdr:nvSpPr>
        <xdr:cNvPr id="134" name="Line 134"/>
        <xdr:cNvSpPr>
          <a:spLocks/>
        </xdr:cNvSpPr>
      </xdr:nvSpPr>
      <xdr:spPr>
        <a:xfrm flipV="1">
          <a:off x="24003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16</xdr:row>
      <xdr:rowOff>57150</xdr:rowOff>
    </xdr:from>
    <xdr:to>
      <xdr:col>4</xdr:col>
      <xdr:colOff>342900</xdr:colOff>
      <xdr:row>17</xdr:row>
      <xdr:rowOff>76200</xdr:rowOff>
    </xdr:to>
    <xdr:sp>
      <xdr:nvSpPr>
        <xdr:cNvPr id="135" name="Line 135"/>
        <xdr:cNvSpPr>
          <a:spLocks/>
        </xdr:cNvSpPr>
      </xdr:nvSpPr>
      <xdr:spPr>
        <a:xfrm flipV="1">
          <a:off x="2409825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66675</xdr:rowOff>
    </xdr:from>
    <xdr:to>
      <xdr:col>3</xdr:col>
      <xdr:colOff>323850</xdr:colOff>
      <xdr:row>18</xdr:row>
      <xdr:rowOff>85725</xdr:rowOff>
    </xdr:to>
    <xdr:sp>
      <xdr:nvSpPr>
        <xdr:cNvPr id="136" name="Line 136"/>
        <xdr:cNvSpPr>
          <a:spLocks/>
        </xdr:cNvSpPr>
      </xdr:nvSpPr>
      <xdr:spPr>
        <a:xfrm flipV="1">
          <a:off x="19050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16</xdr:row>
      <xdr:rowOff>57150</xdr:rowOff>
    </xdr:from>
    <xdr:to>
      <xdr:col>2</xdr:col>
      <xdr:colOff>352425</xdr:colOff>
      <xdr:row>17</xdr:row>
      <xdr:rowOff>76200</xdr:rowOff>
    </xdr:to>
    <xdr:sp>
      <xdr:nvSpPr>
        <xdr:cNvPr id="137" name="Line 137"/>
        <xdr:cNvSpPr>
          <a:spLocks/>
        </xdr:cNvSpPr>
      </xdr:nvSpPr>
      <xdr:spPr>
        <a:xfrm flipV="1">
          <a:off x="14478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2</xdr:col>
      <xdr:colOff>133350</xdr:colOff>
      <xdr:row>16</xdr:row>
      <xdr:rowOff>142875</xdr:rowOff>
    </xdr:to>
    <xdr:sp>
      <xdr:nvSpPr>
        <xdr:cNvPr id="138" name="Line 138"/>
        <xdr:cNvSpPr>
          <a:spLocks/>
        </xdr:cNvSpPr>
      </xdr:nvSpPr>
      <xdr:spPr>
        <a:xfrm flipV="1">
          <a:off x="990600" y="26193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19050</xdr:rowOff>
    </xdr:from>
    <xdr:to>
      <xdr:col>3</xdr:col>
      <xdr:colOff>114300</xdr:colOff>
      <xdr:row>15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1457325" y="24479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14</xdr:row>
      <xdr:rowOff>28575</xdr:rowOff>
    </xdr:from>
    <xdr:to>
      <xdr:col>4</xdr:col>
      <xdr:colOff>114300</xdr:colOff>
      <xdr:row>14</xdr:row>
      <xdr:rowOff>142875</xdr:rowOff>
    </xdr:to>
    <xdr:sp>
      <xdr:nvSpPr>
        <xdr:cNvPr id="140" name="Line 140"/>
        <xdr:cNvSpPr>
          <a:spLocks/>
        </xdr:cNvSpPr>
      </xdr:nvSpPr>
      <xdr:spPr>
        <a:xfrm flipV="1">
          <a:off x="1943100" y="22955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28575</xdr:rowOff>
    </xdr:from>
    <xdr:to>
      <xdr:col>5</xdr:col>
      <xdr:colOff>123825</xdr:colOff>
      <xdr:row>13</xdr:row>
      <xdr:rowOff>142875</xdr:rowOff>
    </xdr:to>
    <xdr:sp>
      <xdr:nvSpPr>
        <xdr:cNvPr id="141" name="Line 141"/>
        <xdr:cNvSpPr>
          <a:spLocks/>
        </xdr:cNvSpPr>
      </xdr:nvSpPr>
      <xdr:spPr>
        <a:xfrm flipV="1">
          <a:off x="2438400" y="21336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12</xdr:row>
      <xdr:rowOff>47625</xdr:rowOff>
    </xdr:from>
    <xdr:to>
      <xdr:col>6</xdr:col>
      <xdr:colOff>114300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2914650" y="19907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133350</xdr:rowOff>
    </xdr:from>
    <xdr:to>
      <xdr:col>2</xdr:col>
      <xdr:colOff>104775</xdr:colOff>
      <xdr:row>15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990600" y="24003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28575</xdr:rowOff>
    </xdr:from>
    <xdr:to>
      <xdr:col>2</xdr:col>
      <xdr:colOff>104775</xdr:colOff>
      <xdr:row>14</xdr:row>
      <xdr:rowOff>9525</xdr:rowOff>
    </xdr:to>
    <xdr:sp>
      <xdr:nvSpPr>
        <xdr:cNvPr id="144" name="Line 144"/>
        <xdr:cNvSpPr>
          <a:spLocks/>
        </xdr:cNvSpPr>
      </xdr:nvSpPr>
      <xdr:spPr>
        <a:xfrm>
          <a:off x="990600" y="21336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13</xdr:row>
      <xdr:rowOff>133350</xdr:rowOff>
    </xdr:from>
    <xdr:to>
      <xdr:col>3</xdr:col>
      <xdr:colOff>85725</xdr:colOff>
      <xdr:row>14</xdr:row>
      <xdr:rowOff>114300</xdr:rowOff>
    </xdr:to>
    <xdr:sp>
      <xdr:nvSpPr>
        <xdr:cNvPr id="145" name="Line 145"/>
        <xdr:cNvSpPr>
          <a:spLocks/>
        </xdr:cNvSpPr>
      </xdr:nvSpPr>
      <xdr:spPr>
        <a:xfrm>
          <a:off x="1457325" y="2238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152400</xdr:rowOff>
    </xdr:from>
    <xdr:to>
      <xdr:col>2</xdr:col>
      <xdr:colOff>95250</xdr:colOff>
      <xdr:row>11</xdr:row>
      <xdr:rowOff>133350</xdr:rowOff>
    </xdr:to>
    <xdr:sp>
      <xdr:nvSpPr>
        <xdr:cNvPr id="146" name="Line 146"/>
        <xdr:cNvSpPr>
          <a:spLocks/>
        </xdr:cNvSpPr>
      </xdr:nvSpPr>
      <xdr:spPr>
        <a:xfrm>
          <a:off x="981075" y="17716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142875</xdr:rowOff>
    </xdr:from>
    <xdr:to>
      <xdr:col>3</xdr:col>
      <xdr:colOff>85725</xdr:colOff>
      <xdr:row>12</xdr:row>
      <xdr:rowOff>123825</xdr:rowOff>
    </xdr:to>
    <xdr:sp>
      <xdr:nvSpPr>
        <xdr:cNvPr id="147" name="Line 147"/>
        <xdr:cNvSpPr>
          <a:spLocks/>
        </xdr:cNvSpPr>
      </xdr:nvSpPr>
      <xdr:spPr>
        <a:xfrm>
          <a:off x="1457325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123825</xdr:rowOff>
    </xdr:from>
    <xdr:to>
      <xdr:col>4</xdr:col>
      <xdr:colOff>95250</xdr:colOff>
      <xdr:row>13</xdr:row>
      <xdr:rowOff>104775</xdr:rowOff>
    </xdr:to>
    <xdr:sp>
      <xdr:nvSpPr>
        <xdr:cNvPr id="148" name="Line 148"/>
        <xdr:cNvSpPr>
          <a:spLocks/>
        </xdr:cNvSpPr>
      </xdr:nvSpPr>
      <xdr:spPr>
        <a:xfrm>
          <a:off x="1952625" y="20669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8</xdr:row>
      <xdr:rowOff>123825</xdr:rowOff>
    </xdr:from>
    <xdr:to>
      <xdr:col>2</xdr:col>
      <xdr:colOff>85725</xdr:colOff>
      <xdr:row>9</xdr:row>
      <xdr:rowOff>104775</xdr:rowOff>
    </xdr:to>
    <xdr:sp>
      <xdr:nvSpPr>
        <xdr:cNvPr id="149" name="Line 149"/>
        <xdr:cNvSpPr>
          <a:spLocks/>
        </xdr:cNvSpPr>
      </xdr:nvSpPr>
      <xdr:spPr>
        <a:xfrm>
          <a:off x="971550" y="14192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152400</xdr:rowOff>
    </xdr:from>
    <xdr:to>
      <xdr:col>3</xdr:col>
      <xdr:colOff>104775</xdr:colOff>
      <xdr:row>10</xdr:row>
      <xdr:rowOff>133350</xdr:rowOff>
    </xdr:to>
    <xdr:sp>
      <xdr:nvSpPr>
        <xdr:cNvPr id="150" name="Line 150"/>
        <xdr:cNvSpPr>
          <a:spLocks/>
        </xdr:cNvSpPr>
      </xdr:nvSpPr>
      <xdr:spPr>
        <a:xfrm>
          <a:off x="1476375" y="16097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</xdr:row>
      <xdr:rowOff>142875</xdr:rowOff>
    </xdr:from>
    <xdr:to>
      <xdr:col>4</xdr:col>
      <xdr:colOff>95250</xdr:colOff>
      <xdr:row>11</xdr:row>
      <xdr:rowOff>123825</xdr:rowOff>
    </xdr:to>
    <xdr:sp>
      <xdr:nvSpPr>
        <xdr:cNvPr id="151" name="Line 151"/>
        <xdr:cNvSpPr>
          <a:spLocks/>
        </xdr:cNvSpPr>
      </xdr:nvSpPr>
      <xdr:spPr>
        <a:xfrm>
          <a:off x="1952625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11</xdr:row>
      <xdr:rowOff>142875</xdr:rowOff>
    </xdr:from>
    <xdr:to>
      <xdr:col>5</xdr:col>
      <xdr:colOff>95250</xdr:colOff>
      <xdr:row>12</xdr:row>
      <xdr:rowOff>123825</xdr:rowOff>
    </xdr:to>
    <xdr:sp>
      <xdr:nvSpPr>
        <xdr:cNvPr id="152" name="Line 152"/>
        <xdr:cNvSpPr>
          <a:spLocks/>
        </xdr:cNvSpPr>
      </xdr:nvSpPr>
      <xdr:spPr>
        <a:xfrm>
          <a:off x="2438400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123825</xdr:rowOff>
    </xdr:from>
    <xdr:to>
      <xdr:col>2</xdr:col>
      <xdr:colOff>95250</xdr:colOff>
      <xdr:row>7</xdr:row>
      <xdr:rowOff>104775</xdr:rowOff>
    </xdr:to>
    <xdr:sp>
      <xdr:nvSpPr>
        <xdr:cNvPr id="153" name="Line 153"/>
        <xdr:cNvSpPr>
          <a:spLocks/>
        </xdr:cNvSpPr>
      </xdr:nvSpPr>
      <xdr:spPr>
        <a:xfrm>
          <a:off x="981075" y="1095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0</xdr:rowOff>
    </xdr:from>
    <xdr:to>
      <xdr:col>3</xdr:col>
      <xdr:colOff>114300</xdr:colOff>
      <xdr:row>8</xdr:row>
      <xdr:rowOff>142875</xdr:rowOff>
    </xdr:to>
    <xdr:sp>
      <xdr:nvSpPr>
        <xdr:cNvPr id="154" name="Line 154"/>
        <xdr:cNvSpPr>
          <a:spLocks/>
        </xdr:cNvSpPr>
      </xdr:nvSpPr>
      <xdr:spPr>
        <a:xfrm>
          <a:off x="1485900" y="12954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</xdr:row>
      <xdr:rowOff>0</xdr:rowOff>
    </xdr:from>
    <xdr:to>
      <xdr:col>4</xdr:col>
      <xdr:colOff>123825</xdr:colOff>
      <xdr:row>9</xdr:row>
      <xdr:rowOff>142875</xdr:rowOff>
    </xdr:to>
    <xdr:sp>
      <xdr:nvSpPr>
        <xdr:cNvPr id="155" name="Line 155"/>
        <xdr:cNvSpPr>
          <a:spLocks/>
        </xdr:cNvSpPr>
      </xdr:nvSpPr>
      <xdr:spPr>
        <a:xfrm>
          <a:off x="1981200" y="14573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9525</xdr:rowOff>
    </xdr:from>
    <xdr:to>
      <xdr:col>5</xdr:col>
      <xdr:colOff>95250</xdr:colOff>
      <xdr:row>10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2438400" y="16287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10</xdr:row>
      <xdr:rowOff>142875</xdr:rowOff>
    </xdr:from>
    <xdr:to>
      <xdr:col>6</xdr:col>
      <xdr:colOff>104775</xdr:colOff>
      <xdr:row>11</xdr:row>
      <xdr:rowOff>123825</xdr:rowOff>
    </xdr:to>
    <xdr:sp>
      <xdr:nvSpPr>
        <xdr:cNvPr id="157" name="Line 157"/>
        <xdr:cNvSpPr>
          <a:spLocks/>
        </xdr:cNvSpPr>
      </xdr:nvSpPr>
      <xdr:spPr>
        <a:xfrm>
          <a:off x="2933700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15</xdr:row>
      <xdr:rowOff>123825</xdr:rowOff>
    </xdr:from>
    <xdr:to>
      <xdr:col>11</xdr:col>
      <xdr:colOff>95250</xdr:colOff>
      <xdr:row>16</xdr:row>
      <xdr:rowOff>76200</xdr:rowOff>
    </xdr:to>
    <xdr:sp>
      <xdr:nvSpPr>
        <xdr:cNvPr id="158" name="Line 158"/>
        <xdr:cNvSpPr>
          <a:spLocks/>
        </xdr:cNvSpPr>
      </xdr:nvSpPr>
      <xdr:spPr>
        <a:xfrm flipH="1" flipV="1">
          <a:off x="5324475" y="25527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14</xdr:row>
      <xdr:rowOff>123825</xdr:rowOff>
    </xdr:from>
    <xdr:to>
      <xdr:col>10</xdr:col>
      <xdr:colOff>95250</xdr:colOff>
      <xdr:row>15</xdr:row>
      <xdr:rowOff>76200</xdr:rowOff>
    </xdr:to>
    <xdr:sp>
      <xdr:nvSpPr>
        <xdr:cNvPr id="159" name="Line 159"/>
        <xdr:cNvSpPr>
          <a:spLocks/>
        </xdr:cNvSpPr>
      </xdr:nvSpPr>
      <xdr:spPr>
        <a:xfrm flipH="1" flipV="1">
          <a:off x="4838700" y="23907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114300</xdr:rowOff>
    </xdr:from>
    <xdr:to>
      <xdr:col>9</xdr:col>
      <xdr:colOff>76200</xdr:colOff>
      <xdr:row>14</xdr:row>
      <xdr:rowOff>66675</xdr:rowOff>
    </xdr:to>
    <xdr:sp>
      <xdr:nvSpPr>
        <xdr:cNvPr id="160" name="Line 160"/>
        <xdr:cNvSpPr>
          <a:spLocks/>
        </xdr:cNvSpPr>
      </xdr:nvSpPr>
      <xdr:spPr>
        <a:xfrm flipH="1" flipV="1">
          <a:off x="4333875" y="22193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142875</xdr:rowOff>
    </xdr:from>
    <xdr:to>
      <xdr:col>8</xdr:col>
      <xdr:colOff>85725</xdr:colOff>
      <xdr:row>13</xdr:row>
      <xdr:rowOff>95250</xdr:rowOff>
    </xdr:to>
    <xdr:sp>
      <xdr:nvSpPr>
        <xdr:cNvPr id="161" name="Line 161"/>
        <xdr:cNvSpPr>
          <a:spLocks/>
        </xdr:cNvSpPr>
      </xdr:nvSpPr>
      <xdr:spPr>
        <a:xfrm flipH="1" flipV="1">
          <a:off x="3857625" y="20859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12</xdr:row>
      <xdr:rowOff>0</xdr:rowOff>
    </xdr:from>
    <xdr:to>
      <xdr:col>7</xdr:col>
      <xdr:colOff>123825</xdr:colOff>
      <xdr:row>12</xdr:row>
      <xdr:rowOff>114300</xdr:rowOff>
    </xdr:to>
    <xdr:sp>
      <xdr:nvSpPr>
        <xdr:cNvPr id="162" name="Line 162"/>
        <xdr:cNvSpPr>
          <a:spLocks/>
        </xdr:cNvSpPr>
      </xdr:nvSpPr>
      <xdr:spPr>
        <a:xfrm flipH="1" flipV="1">
          <a:off x="3409950" y="19431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</xdr:row>
      <xdr:rowOff>133350</xdr:rowOff>
    </xdr:from>
    <xdr:to>
      <xdr:col>11</xdr:col>
      <xdr:colOff>114300</xdr:colOff>
      <xdr:row>7</xdr:row>
      <xdr:rowOff>133350</xdr:rowOff>
    </xdr:to>
    <xdr:sp>
      <xdr:nvSpPr>
        <xdr:cNvPr id="163" name="Line 163"/>
        <xdr:cNvSpPr>
          <a:spLocks/>
        </xdr:cNvSpPr>
      </xdr:nvSpPr>
      <xdr:spPr>
        <a:xfrm flipH="1">
          <a:off x="5362575" y="11049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9525</xdr:rowOff>
    </xdr:from>
    <xdr:to>
      <xdr:col>10</xdr:col>
      <xdr:colOff>114300</xdr:colOff>
      <xdr:row>9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4876800" y="13049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9</xdr:row>
      <xdr:rowOff>9525</xdr:rowOff>
    </xdr:from>
    <xdr:to>
      <xdr:col>9</xdr:col>
      <xdr:colOff>85725</xdr:colOff>
      <xdr:row>10</xdr:row>
      <xdr:rowOff>9525</xdr:rowOff>
    </xdr:to>
    <xdr:sp>
      <xdr:nvSpPr>
        <xdr:cNvPr id="165" name="Line 165"/>
        <xdr:cNvSpPr>
          <a:spLocks/>
        </xdr:cNvSpPr>
      </xdr:nvSpPr>
      <xdr:spPr>
        <a:xfrm flipH="1">
          <a:off x="4362450" y="14668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10</xdr:row>
      <xdr:rowOff>0</xdr:rowOff>
    </xdr:from>
    <xdr:to>
      <xdr:col>8</xdr:col>
      <xdr:colOff>104775</xdr:colOff>
      <xdr:row>11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3895725" y="1619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142875</xdr:rowOff>
    </xdr:from>
    <xdr:to>
      <xdr:col>7</xdr:col>
      <xdr:colOff>114300</xdr:colOff>
      <xdr:row>11</xdr:row>
      <xdr:rowOff>142875</xdr:rowOff>
    </xdr:to>
    <xdr:sp>
      <xdr:nvSpPr>
        <xdr:cNvPr id="167" name="Line 167"/>
        <xdr:cNvSpPr>
          <a:spLocks/>
        </xdr:cNvSpPr>
      </xdr:nvSpPr>
      <xdr:spPr>
        <a:xfrm flipH="1">
          <a:off x="34194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8</xdr:row>
      <xdr:rowOff>123825</xdr:rowOff>
    </xdr:from>
    <xdr:to>
      <xdr:col>11</xdr:col>
      <xdr:colOff>114300</xdr:colOff>
      <xdr:row>9</xdr:row>
      <xdr:rowOff>123825</xdr:rowOff>
    </xdr:to>
    <xdr:sp>
      <xdr:nvSpPr>
        <xdr:cNvPr id="168" name="Line 168"/>
        <xdr:cNvSpPr>
          <a:spLocks/>
        </xdr:cNvSpPr>
      </xdr:nvSpPr>
      <xdr:spPr>
        <a:xfrm flipH="1">
          <a:off x="5362575" y="14192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9</xdr:row>
      <xdr:rowOff>142875</xdr:rowOff>
    </xdr:from>
    <xdr:to>
      <xdr:col>10</xdr:col>
      <xdr:colOff>95250</xdr:colOff>
      <xdr:row>10</xdr:row>
      <xdr:rowOff>142875</xdr:rowOff>
    </xdr:to>
    <xdr:sp>
      <xdr:nvSpPr>
        <xdr:cNvPr id="169" name="Line 169"/>
        <xdr:cNvSpPr>
          <a:spLocks/>
        </xdr:cNvSpPr>
      </xdr:nvSpPr>
      <xdr:spPr>
        <a:xfrm flipH="1">
          <a:off x="4857750" y="16002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</xdr:row>
      <xdr:rowOff>142875</xdr:rowOff>
    </xdr:from>
    <xdr:to>
      <xdr:col>9</xdr:col>
      <xdr:colOff>95250</xdr:colOff>
      <xdr:row>11</xdr:row>
      <xdr:rowOff>142875</xdr:rowOff>
    </xdr:to>
    <xdr:sp>
      <xdr:nvSpPr>
        <xdr:cNvPr id="170" name="Line 170"/>
        <xdr:cNvSpPr>
          <a:spLocks/>
        </xdr:cNvSpPr>
      </xdr:nvSpPr>
      <xdr:spPr>
        <a:xfrm flipH="1">
          <a:off x="43719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11</xdr:row>
      <xdr:rowOff>114300</xdr:rowOff>
    </xdr:from>
    <xdr:to>
      <xdr:col>8</xdr:col>
      <xdr:colOff>76200</xdr:colOff>
      <xdr:row>12</xdr:row>
      <xdr:rowOff>114300</xdr:rowOff>
    </xdr:to>
    <xdr:sp>
      <xdr:nvSpPr>
        <xdr:cNvPr id="171" name="Line 171"/>
        <xdr:cNvSpPr>
          <a:spLocks/>
        </xdr:cNvSpPr>
      </xdr:nvSpPr>
      <xdr:spPr>
        <a:xfrm flipH="1">
          <a:off x="3867150" y="189547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10</xdr:row>
      <xdr:rowOff>133350</xdr:rowOff>
    </xdr:from>
    <xdr:to>
      <xdr:col>11</xdr:col>
      <xdr:colOff>85725</xdr:colOff>
      <xdr:row>11</xdr:row>
      <xdr:rowOff>133350</xdr:rowOff>
    </xdr:to>
    <xdr:sp>
      <xdr:nvSpPr>
        <xdr:cNvPr id="172" name="Line 172"/>
        <xdr:cNvSpPr>
          <a:spLocks/>
        </xdr:cNvSpPr>
      </xdr:nvSpPr>
      <xdr:spPr>
        <a:xfrm flipH="1">
          <a:off x="5334000" y="17526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133350</xdr:rowOff>
    </xdr:from>
    <xdr:to>
      <xdr:col>10</xdr:col>
      <xdr:colOff>85725</xdr:colOff>
      <xdr:row>12</xdr:row>
      <xdr:rowOff>133350</xdr:rowOff>
    </xdr:to>
    <xdr:sp>
      <xdr:nvSpPr>
        <xdr:cNvPr id="173" name="Line 173"/>
        <xdr:cNvSpPr>
          <a:spLocks/>
        </xdr:cNvSpPr>
      </xdr:nvSpPr>
      <xdr:spPr>
        <a:xfrm flipH="1">
          <a:off x="4848225" y="19145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114300</xdr:rowOff>
    </xdr:from>
    <xdr:to>
      <xdr:col>9</xdr:col>
      <xdr:colOff>85725</xdr:colOff>
      <xdr:row>13</xdr:row>
      <xdr:rowOff>114300</xdr:rowOff>
    </xdr:to>
    <xdr:sp>
      <xdr:nvSpPr>
        <xdr:cNvPr id="174" name="#86"/>
        <xdr:cNvSpPr>
          <a:spLocks/>
        </xdr:cNvSpPr>
      </xdr:nvSpPr>
      <xdr:spPr>
        <a:xfrm flipH="1">
          <a:off x="4362450" y="20574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12</xdr:row>
      <xdr:rowOff>76200</xdr:rowOff>
    </xdr:from>
    <xdr:to>
      <xdr:col>11</xdr:col>
      <xdr:colOff>133350</xdr:colOff>
      <xdr:row>13</xdr:row>
      <xdr:rowOff>76200</xdr:rowOff>
    </xdr:to>
    <xdr:sp>
      <xdr:nvSpPr>
        <xdr:cNvPr id="175" name="Line 175"/>
        <xdr:cNvSpPr>
          <a:spLocks/>
        </xdr:cNvSpPr>
      </xdr:nvSpPr>
      <xdr:spPr>
        <a:xfrm flipH="1">
          <a:off x="5381625" y="20193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13</xdr:row>
      <xdr:rowOff>104775</xdr:rowOff>
    </xdr:from>
    <xdr:to>
      <xdr:col>10</xdr:col>
      <xdr:colOff>76200</xdr:colOff>
      <xdr:row>14</xdr:row>
      <xdr:rowOff>104775</xdr:rowOff>
    </xdr:to>
    <xdr:sp>
      <xdr:nvSpPr>
        <xdr:cNvPr id="176" name="Line 176"/>
        <xdr:cNvSpPr>
          <a:spLocks/>
        </xdr:cNvSpPr>
      </xdr:nvSpPr>
      <xdr:spPr>
        <a:xfrm flipH="1">
          <a:off x="4838700" y="22098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14</xdr:row>
      <xdr:rowOff>114300</xdr:rowOff>
    </xdr:from>
    <xdr:to>
      <xdr:col>11</xdr:col>
      <xdr:colOff>85725</xdr:colOff>
      <xdr:row>15</xdr:row>
      <xdr:rowOff>114300</xdr:rowOff>
    </xdr:to>
    <xdr:sp>
      <xdr:nvSpPr>
        <xdr:cNvPr id="177" name="Line 177"/>
        <xdr:cNvSpPr>
          <a:spLocks/>
        </xdr:cNvSpPr>
      </xdr:nvSpPr>
      <xdr:spPr>
        <a:xfrm flipH="1">
          <a:off x="5334000" y="2381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66675</xdr:rowOff>
    </xdr:from>
    <xdr:to>
      <xdr:col>3</xdr:col>
      <xdr:colOff>342900</xdr:colOff>
      <xdr:row>16</xdr:row>
      <xdr:rowOff>85725</xdr:rowOff>
    </xdr:to>
    <xdr:sp>
      <xdr:nvSpPr>
        <xdr:cNvPr id="178" name="Line 178"/>
        <xdr:cNvSpPr>
          <a:spLocks/>
        </xdr:cNvSpPr>
      </xdr:nvSpPr>
      <xdr:spPr>
        <a:xfrm flipV="1">
          <a:off x="1924050" y="24955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14</xdr:row>
      <xdr:rowOff>47625</xdr:rowOff>
    </xdr:from>
    <xdr:to>
      <xdr:col>4</xdr:col>
      <xdr:colOff>333375</xdr:colOff>
      <xdr:row>15</xdr:row>
      <xdr:rowOff>66675</xdr:rowOff>
    </xdr:to>
    <xdr:sp>
      <xdr:nvSpPr>
        <xdr:cNvPr id="179" name="Line 179"/>
        <xdr:cNvSpPr>
          <a:spLocks/>
        </xdr:cNvSpPr>
      </xdr:nvSpPr>
      <xdr:spPr>
        <a:xfrm flipV="1">
          <a:off x="2400300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</xdr:row>
      <xdr:rowOff>47625</xdr:rowOff>
    </xdr:from>
    <xdr:to>
      <xdr:col>5</xdr:col>
      <xdr:colOff>333375</xdr:colOff>
      <xdr:row>14</xdr:row>
      <xdr:rowOff>66675</xdr:rowOff>
    </xdr:to>
    <xdr:sp>
      <xdr:nvSpPr>
        <xdr:cNvPr id="180" name="Line 180"/>
        <xdr:cNvSpPr>
          <a:spLocks/>
        </xdr:cNvSpPr>
      </xdr:nvSpPr>
      <xdr:spPr>
        <a:xfrm flipV="1">
          <a:off x="2886075" y="2152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85725</xdr:rowOff>
    </xdr:from>
    <xdr:to>
      <xdr:col>6</xdr:col>
      <xdr:colOff>352425</xdr:colOff>
      <xdr:row>3</xdr:row>
      <xdr:rowOff>123825</xdr:rowOff>
    </xdr:to>
    <xdr:sp>
      <xdr:nvSpPr>
        <xdr:cNvPr id="1" name="Line 91"/>
        <xdr:cNvSpPr>
          <a:spLocks/>
        </xdr:cNvSpPr>
      </xdr:nvSpPr>
      <xdr:spPr>
        <a:xfrm>
          <a:off x="3381375" y="4095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361950</xdr:colOff>
      <xdr:row>5</xdr:row>
      <xdr:rowOff>123825</xdr:rowOff>
    </xdr:to>
    <xdr:sp>
      <xdr:nvSpPr>
        <xdr:cNvPr id="2" name="Line 92"/>
        <xdr:cNvSpPr>
          <a:spLocks/>
        </xdr:cNvSpPr>
      </xdr:nvSpPr>
      <xdr:spPr>
        <a:xfrm>
          <a:off x="339090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85725</xdr:rowOff>
    </xdr:from>
    <xdr:to>
      <xdr:col>6</xdr:col>
      <xdr:colOff>371475</xdr:colOff>
      <xdr:row>7</xdr:row>
      <xdr:rowOff>123825</xdr:rowOff>
    </xdr:to>
    <xdr:sp>
      <xdr:nvSpPr>
        <xdr:cNvPr id="3" name="Line 93"/>
        <xdr:cNvSpPr>
          <a:spLocks/>
        </xdr:cNvSpPr>
      </xdr:nvSpPr>
      <xdr:spPr>
        <a:xfrm>
          <a:off x="340042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8</xdr:row>
      <xdr:rowOff>85725</xdr:rowOff>
    </xdr:from>
    <xdr:to>
      <xdr:col>6</xdr:col>
      <xdr:colOff>371475</xdr:colOff>
      <xdr:row>9</xdr:row>
      <xdr:rowOff>123825</xdr:rowOff>
    </xdr:to>
    <xdr:sp>
      <xdr:nvSpPr>
        <xdr:cNvPr id="4" name="Line 94"/>
        <xdr:cNvSpPr>
          <a:spLocks/>
        </xdr:cNvSpPr>
      </xdr:nvSpPr>
      <xdr:spPr>
        <a:xfrm>
          <a:off x="3400425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</xdr:row>
      <xdr:rowOff>85725</xdr:rowOff>
    </xdr:from>
    <xdr:to>
      <xdr:col>6</xdr:col>
      <xdr:colOff>381000</xdr:colOff>
      <xdr:row>11</xdr:row>
      <xdr:rowOff>123825</xdr:rowOff>
    </xdr:to>
    <xdr:sp>
      <xdr:nvSpPr>
        <xdr:cNvPr id="5" name="Line 95"/>
        <xdr:cNvSpPr>
          <a:spLocks/>
        </xdr:cNvSpPr>
      </xdr:nvSpPr>
      <xdr:spPr>
        <a:xfrm>
          <a:off x="3409950" y="1704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76200</xdr:rowOff>
    </xdr:from>
    <xdr:to>
      <xdr:col>7</xdr:col>
      <xdr:colOff>381000</xdr:colOff>
      <xdr:row>4</xdr:row>
      <xdr:rowOff>114300</xdr:rowOff>
    </xdr:to>
    <xdr:sp>
      <xdr:nvSpPr>
        <xdr:cNvPr id="6" name="Line 96"/>
        <xdr:cNvSpPr>
          <a:spLocks/>
        </xdr:cNvSpPr>
      </xdr:nvSpPr>
      <xdr:spPr>
        <a:xfrm>
          <a:off x="3895725" y="561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76200</xdr:rowOff>
    </xdr:from>
    <xdr:to>
      <xdr:col>7</xdr:col>
      <xdr:colOff>381000</xdr:colOff>
      <xdr:row>6</xdr:row>
      <xdr:rowOff>114300</xdr:rowOff>
    </xdr:to>
    <xdr:sp>
      <xdr:nvSpPr>
        <xdr:cNvPr id="7" name="Line 97"/>
        <xdr:cNvSpPr>
          <a:spLocks/>
        </xdr:cNvSpPr>
      </xdr:nvSpPr>
      <xdr:spPr>
        <a:xfrm>
          <a:off x="389572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7</xdr:row>
      <xdr:rowOff>76200</xdr:rowOff>
    </xdr:from>
    <xdr:to>
      <xdr:col>7</xdr:col>
      <xdr:colOff>381000</xdr:colOff>
      <xdr:row>8</xdr:row>
      <xdr:rowOff>114300</xdr:rowOff>
    </xdr:to>
    <xdr:sp>
      <xdr:nvSpPr>
        <xdr:cNvPr id="8" name="Line 98"/>
        <xdr:cNvSpPr>
          <a:spLocks/>
        </xdr:cNvSpPr>
      </xdr:nvSpPr>
      <xdr:spPr>
        <a:xfrm>
          <a:off x="38957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9</xdr:row>
      <xdr:rowOff>76200</xdr:rowOff>
    </xdr:from>
    <xdr:to>
      <xdr:col>7</xdr:col>
      <xdr:colOff>371475</xdr:colOff>
      <xdr:row>10</xdr:row>
      <xdr:rowOff>114300</xdr:rowOff>
    </xdr:to>
    <xdr:sp>
      <xdr:nvSpPr>
        <xdr:cNvPr id="9" name="Line 99"/>
        <xdr:cNvSpPr>
          <a:spLocks/>
        </xdr:cNvSpPr>
      </xdr:nvSpPr>
      <xdr:spPr>
        <a:xfrm>
          <a:off x="3886200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361950</xdr:colOff>
      <xdr:row>5</xdr:row>
      <xdr:rowOff>123825</xdr:rowOff>
    </xdr:to>
    <xdr:sp>
      <xdr:nvSpPr>
        <xdr:cNvPr id="10" name="Line 100"/>
        <xdr:cNvSpPr>
          <a:spLocks/>
        </xdr:cNvSpPr>
      </xdr:nvSpPr>
      <xdr:spPr>
        <a:xfrm>
          <a:off x="436245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76200</xdr:rowOff>
    </xdr:from>
    <xdr:to>
      <xdr:col>8</xdr:col>
      <xdr:colOff>371475</xdr:colOff>
      <xdr:row>7</xdr:row>
      <xdr:rowOff>114300</xdr:rowOff>
    </xdr:to>
    <xdr:sp>
      <xdr:nvSpPr>
        <xdr:cNvPr id="11" name="Line 101"/>
        <xdr:cNvSpPr>
          <a:spLocks/>
        </xdr:cNvSpPr>
      </xdr:nvSpPr>
      <xdr:spPr>
        <a:xfrm>
          <a:off x="4371975" y="104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76200</xdr:rowOff>
    </xdr:from>
    <xdr:to>
      <xdr:col>8</xdr:col>
      <xdr:colOff>371475</xdr:colOff>
      <xdr:row>9</xdr:row>
      <xdr:rowOff>114300</xdr:rowOff>
    </xdr:to>
    <xdr:sp>
      <xdr:nvSpPr>
        <xdr:cNvPr id="12" name="Line 102"/>
        <xdr:cNvSpPr>
          <a:spLocks/>
        </xdr:cNvSpPr>
      </xdr:nvSpPr>
      <xdr:spPr>
        <a:xfrm>
          <a:off x="4371975" y="13716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85725</xdr:rowOff>
    </xdr:from>
    <xdr:to>
      <xdr:col>9</xdr:col>
      <xdr:colOff>361950</xdr:colOff>
      <xdr:row>6</xdr:row>
      <xdr:rowOff>123825</xdr:rowOff>
    </xdr:to>
    <xdr:sp>
      <xdr:nvSpPr>
        <xdr:cNvPr id="13" name="Line 103"/>
        <xdr:cNvSpPr>
          <a:spLocks/>
        </xdr:cNvSpPr>
      </xdr:nvSpPr>
      <xdr:spPr>
        <a:xfrm>
          <a:off x="4924425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76200</xdr:rowOff>
    </xdr:from>
    <xdr:to>
      <xdr:col>9</xdr:col>
      <xdr:colOff>361950</xdr:colOff>
      <xdr:row>8</xdr:row>
      <xdr:rowOff>114300</xdr:rowOff>
    </xdr:to>
    <xdr:sp>
      <xdr:nvSpPr>
        <xdr:cNvPr id="14" name="Line 104"/>
        <xdr:cNvSpPr>
          <a:spLocks/>
        </xdr:cNvSpPr>
      </xdr:nvSpPr>
      <xdr:spPr>
        <a:xfrm>
          <a:off x="49244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6</xdr:row>
      <xdr:rowOff>85725</xdr:rowOff>
    </xdr:from>
    <xdr:to>
      <xdr:col>10</xdr:col>
      <xdr:colOff>352425</xdr:colOff>
      <xdr:row>7</xdr:row>
      <xdr:rowOff>123825</xdr:rowOff>
    </xdr:to>
    <xdr:sp>
      <xdr:nvSpPr>
        <xdr:cNvPr id="15" name="Line 105"/>
        <xdr:cNvSpPr>
          <a:spLocks/>
        </xdr:cNvSpPr>
      </xdr:nvSpPr>
      <xdr:spPr>
        <a:xfrm>
          <a:off x="540067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</xdr:row>
      <xdr:rowOff>85725</xdr:rowOff>
    </xdr:from>
    <xdr:to>
      <xdr:col>5</xdr:col>
      <xdr:colOff>371475</xdr:colOff>
      <xdr:row>4</xdr:row>
      <xdr:rowOff>123825</xdr:rowOff>
    </xdr:to>
    <xdr:sp>
      <xdr:nvSpPr>
        <xdr:cNvPr id="16" name="Line 106"/>
        <xdr:cNvSpPr>
          <a:spLocks/>
        </xdr:cNvSpPr>
      </xdr:nvSpPr>
      <xdr:spPr>
        <a:xfrm>
          <a:off x="2914650" y="5715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76200</xdr:rowOff>
    </xdr:from>
    <xdr:to>
      <xdr:col>5</xdr:col>
      <xdr:colOff>381000</xdr:colOff>
      <xdr:row>6</xdr:row>
      <xdr:rowOff>114300</xdr:rowOff>
    </xdr:to>
    <xdr:sp>
      <xdr:nvSpPr>
        <xdr:cNvPr id="17" name="Line 107"/>
        <xdr:cNvSpPr>
          <a:spLocks/>
        </xdr:cNvSpPr>
      </xdr:nvSpPr>
      <xdr:spPr>
        <a:xfrm>
          <a:off x="292417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95250</xdr:rowOff>
    </xdr:from>
    <xdr:to>
      <xdr:col>5</xdr:col>
      <xdr:colOff>381000</xdr:colOff>
      <xdr:row>8</xdr:row>
      <xdr:rowOff>133350</xdr:rowOff>
    </xdr:to>
    <xdr:sp>
      <xdr:nvSpPr>
        <xdr:cNvPr id="18" name="Line 108"/>
        <xdr:cNvSpPr>
          <a:spLocks/>
        </xdr:cNvSpPr>
      </xdr:nvSpPr>
      <xdr:spPr>
        <a:xfrm>
          <a:off x="2924175" y="12287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381000</xdr:colOff>
      <xdr:row>10</xdr:row>
      <xdr:rowOff>114300</xdr:rowOff>
    </xdr:to>
    <xdr:sp>
      <xdr:nvSpPr>
        <xdr:cNvPr id="19" name="Line 109"/>
        <xdr:cNvSpPr>
          <a:spLocks/>
        </xdr:cNvSpPr>
      </xdr:nvSpPr>
      <xdr:spPr>
        <a:xfrm>
          <a:off x="2924175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</xdr:row>
      <xdr:rowOff>95250</xdr:rowOff>
    </xdr:from>
    <xdr:to>
      <xdr:col>4</xdr:col>
      <xdr:colOff>361950</xdr:colOff>
      <xdr:row>5</xdr:row>
      <xdr:rowOff>133350</xdr:rowOff>
    </xdr:to>
    <xdr:sp>
      <xdr:nvSpPr>
        <xdr:cNvPr id="20" name="Line 110"/>
        <xdr:cNvSpPr>
          <a:spLocks/>
        </xdr:cNvSpPr>
      </xdr:nvSpPr>
      <xdr:spPr>
        <a:xfrm>
          <a:off x="2419350" y="7429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6</xdr:row>
      <xdr:rowOff>66675</xdr:rowOff>
    </xdr:from>
    <xdr:to>
      <xdr:col>4</xdr:col>
      <xdr:colOff>371475</xdr:colOff>
      <xdr:row>7</xdr:row>
      <xdr:rowOff>104775</xdr:rowOff>
    </xdr:to>
    <xdr:sp>
      <xdr:nvSpPr>
        <xdr:cNvPr id="21" name="Line 111"/>
        <xdr:cNvSpPr>
          <a:spLocks/>
        </xdr:cNvSpPr>
      </xdr:nvSpPr>
      <xdr:spPr>
        <a:xfrm>
          <a:off x="2428875" y="10382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85725</xdr:rowOff>
    </xdr:from>
    <xdr:to>
      <xdr:col>4</xdr:col>
      <xdr:colOff>361950</xdr:colOff>
      <xdr:row>9</xdr:row>
      <xdr:rowOff>123825</xdr:rowOff>
    </xdr:to>
    <xdr:sp>
      <xdr:nvSpPr>
        <xdr:cNvPr id="22" name="Line 112"/>
        <xdr:cNvSpPr>
          <a:spLocks/>
        </xdr:cNvSpPr>
      </xdr:nvSpPr>
      <xdr:spPr>
        <a:xfrm>
          <a:off x="2419350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</xdr:row>
      <xdr:rowOff>85725</xdr:rowOff>
    </xdr:from>
    <xdr:to>
      <xdr:col>3</xdr:col>
      <xdr:colOff>390525</xdr:colOff>
      <xdr:row>6</xdr:row>
      <xdr:rowOff>123825</xdr:rowOff>
    </xdr:to>
    <xdr:sp>
      <xdr:nvSpPr>
        <xdr:cNvPr id="23" name="Line 113"/>
        <xdr:cNvSpPr>
          <a:spLocks/>
        </xdr:cNvSpPr>
      </xdr:nvSpPr>
      <xdr:spPr>
        <a:xfrm>
          <a:off x="1962150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</xdr:row>
      <xdr:rowOff>66675</xdr:rowOff>
    </xdr:from>
    <xdr:to>
      <xdr:col>3</xdr:col>
      <xdr:colOff>390525</xdr:colOff>
      <xdr:row>8</xdr:row>
      <xdr:rowOff>104775</xdr:rowOff>
    </xdr:to>
    <xdr:sp>
      <xdr:nvSpPr>
        <xdr:cNvPr id="24" name="Line 114"/>
        <xdr:cNvSpPr>
          <a:spLocks/>
        </xdr:cNvSpPr>
      </xdr:nvSpPr>
      <xdr:spPr>
        <a:xfrm>
          <a:off x="1962150" y="12001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6</xdr:row>
      <xdr:rowOff>85725</xdr:rowOff>
    </xdr:from>
    <xdr:to>
      <xdr:col>2</xdr:col>
      <xdr:colOff>381000</xdr:colOff>
      <xdr:row>7</xdr:row>
      <xdr:rowOff>123825</xdr:rowOff>
    </xdr:to>
    <xdr:sp>
      <xdr:nvSpPr>
        <xdr:cNvPr id="25" name="Line 115"/>
        <xdr:cNvSpPr>
          <a:spLocks/>
        </xdr:cNvSpPr>
      </xdr:nvSpPr>
      <xdr:spPr>
        <a:xfrm>
          <a:off x="1466850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57150</xdr:rowOff>
    </xdr:from>
    <xdr:to>
      <xdr:col>6</xdr:col>
      <xdr:colOff>342900</xdr:colOff>
      <xdr:row>21</xdr:row>
      <xdr:rowOff>76200</xdr:rowOff>
    </xdr:to>
    <xdr:sp>
      <xdr:nvSpPr>
        <xdr:cNvPr id="26" name="Line 116"/>
        <xdr:cNvSpPr>
          <a:spLocks/>
        </xdr:cNvSpPr>
      </xdr:nvSpPr>
      <xdr:spPr>
        <a:xfrm flipV="1">
          <a:off x="3381375" y="3295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57150</xdr:rowOff>
    </xdr:from>
    <xdr:to>
      <xdr:col>6</xdr:col>
      <xdr:colOff>352425</xdr:colOff>
      <xdr:row>19</xdr:row>
      <xdr:rowOff>76200</xdr:rowOff>
    </xdr:to>
    <xdr:sp>
      <xdr:nvSpPr>
        <xdr:cNvPr id="27" name="Line 117"/>
        <xdr:cNvSpPr>
          <a:spLocks/>
        </xdr:cNvSpPr>
      </xdr:nvSpPr>
      <xdr:spPr>
        <a:xfrm flipV="1">
          <a:off x="33909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16</xdr:row>
      <xdr:rowOff>57150</xdr:rowOff>
    </xdr:from>
    <xdr:to>
      <xdr:col>6</xdr:col>
      <xdr:colOff>352425</xdr:colOff>
      <xdr:row>17</xdr:row>
      <xdr:rowOff>76200</xdr:rowOff>
    </xdr:to>
    <xdr:sp>
      <xdr:nvSpPr>
        <xdr:cNvPr id="28" name="Line 118"/>
        <xdr:cNvSpPr>
          <a:spLocks/>
        </xdr:cNvSpPr>
      </xdr:nvSpPr>
      <xdr:spPr>
        <a:xfrm flipV="1">
          <a:off x="33909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14</xdr:row>
      <xdr:rowOff>47625</xdr:rowOff>
    </xdr:from>
    <xdr:to>
      <xdr:col>6</xdr:col>
      <xdr:colOff>361950</xdr:colOff>
      <xdr:row>15</xdr:row>
      <xdr:rowOff>66675</xdr:rowOff>
    </xdr:to>
    <xdr:sp>
      <xdr:nvSpPr>
        <xdr:cNvPr id="29" name="Line 119"/>
        <xdr:cNvSpPr>
          <a:spLocks/>
        </xdr:cNvSpPr>
      </xdr:nvSpPr>
      <xdr:spPr>
        <a:xfrm flipV="1">
          <a:off x="3400425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66675</xdr:rowOff>
    </xdr:from>
    <xdr:to>
      <xdr:col>6</xdr:col>
      <xdr:colOff>381000</xdr:colOff>
      <xdr:row>13</xdr:row>
      <xdr:rowOff>85725</xdr:rowOff>
    </xdr:to>
    <xdr:sp>
      <xdr:nvSpPr>
        <xdr:cNvPr id="30" name="Line 120"/>
        <xdr:cNvSpPr>
          <a:spLocks/>
        </xdr:cNvSpPr>
      </xdr:nvSpPr>
      <xdr:spPr>
        <a:xfrm flipV="1">
          <a:off x="3419475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19</xdr:row>
      <xdr:rowOff>66675</xdr:rowOff>
    </xdr:from>
    <xdr:to>
      <xdr:col>7</xdr:col>
      <xdr:colOff>342900</xdr:colOff>
      <xdr:row>20</xdr:row>
      <xdr:rowOff>85725</xdr:rowOff>
    </xdr:to>
    <xdr:sp>
      <xdr:nvSpPr>
        <xdr:cNvPr id="31" name="Line 121"/>
        <xdr:cNvSpPr>
          <a:spLocks/>
        </xdr:cNvSpPr>
      </xdr:nvSpPr>
      <xdr:spPr>
        <a:xfrm flipV="1">
          <a:off x="386715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17</xdr:row>
      <xdr:rowOff>66675</xdr:rowOff>
    </xdr:from>
    <xdr:to>
      <xdr:col>7</xdr:col>
      <xdr:colOff>361950</xdr:colOff>
      <xdr:row>18</xdr:row>
      <xdr:rowOff>85725</xdr:rowOff>
    </xdr:to>
    <xdr:sp>
      <xdr:nvSpPr>
        <xdr:cNvPr id="32" name="Line 122"/>
        <xdr:cNvSpPr>
          <a:spLocks/>
        </xdr:cNvSpPr>
      </xdr:nvSpPr>
      <xdr:spPr>
        <a:xfrm flipV="1">
          <a:off x="38862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57150</xdr:rowOff>
    </xdr:from>
    <xdr:to>
      <xdr:col>7</xdr:col>
      <xdr:colOff>371475</xdr:colOff>
      <xdr:row>16</xdr:row>
      <xdr:rowOff>76200</xdr:rowOff>
    </xdr:to>
    <xdr:sp>
      <xdr:nvSpPr>
        <xdr:cNvPr id="33" name="Line 123"/>
        <xdr:cNvSpPr>
          <a:spLocks/>
        </xdr:cNvSpPr>
      </xdr:nvSpPr>
      <xdr:spPr>
        <a:xfrm flipV="1">
          <a:off x="3895725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13</xdr:row>
      <xdr:rowOff>57150</xdr:rowOff>
    </xdr:from>
    <xdr:to>
      <xdr:col>7</xdr:col>
      <xdr:colOff>381000</xdr:colOff>
      <xdr:row>14</xdr:row>
      <xdr:rowOff>76200</xdr:rowOff>
    </xdr:to>
    <xdr:sp>
      <xdr:nvSpPr>
        <xdr:cNvPr id="34" name="Line 124"/>
        <xdr:cNvSpPr>
          <a:spLocks/>
        </xdr:cNvSpPr>
      </xdr:nvSpPr>
      <xdr:spPr>
        <a:xfrm flipV="1">
          <a:off x="3905250" y="2162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</xdr:row>
      <xdr:rowOff>57150</xdr:rowOff>
    </xdr:from>
    <xdr:to>
      <xdr:col>8</xdr:col>
      <xdr:colOff>361950</xdr:colOff>
      <xdr:row>19</xdr:row>
      <xdr:rowOff>76200</xdr:rowOff>
    </xdr:to>
    <xdr:sp>
      <xdr:nvSpPr>
        <xdr:cNvPr id="35" name="Line 125"/>
        <xdr:cNvSpPr>
          <a:spLocks/>
        </xdr:cNvSpPr>
      </xdr:nvSpPr>
      <xdr:spPr>
        <a:xfrm flipV="1">
          <a:off x="4371975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47625</xdr:rowOff>
    </xdr:from>
    <xdr:to>
      <xdr:col>8</xdr:col>
      <xdr:colOff>371475</xdr:colOff>
      <xdr:row>17</xdr:row>
      <xdr:rowOff>66675</xdr:rowOff>
    </xdr:to>
    <xdr:sp>
      <xdr:nvSpPr>
        <xdr:cNvPr id="36" name="Line 126"/>
        <xdr:cNvSpPr>
          <a:spLocks/>
        </xdr:cNvSpPr>
      </xdr:nvSpPr>
      <xdr:spPr>
        <a:xfrm flipV="1">
          <a:off x="4381500" y="2638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14</xdr:row>
      <xdr:rowOff>47625</xdr:rowOff>
    </xdr:from>
    <xdr:to>
      <xdr:col>8</xdr:col>
      <xdr:colOff>390525</xdr:colOff>
      <xdr:row>15</xdr:row>
      <xdr:rowOff>66675</xdr:rowOff>
    </xdr:to>
    <xdr:sp>
      <xdr:nvSpPr>
        <xdr:cNvPr id="37" name="Line 127"/>
        <xdr:cNvSpPr>
          <a:spLocks/>
        </xdr:cNvSpPr>
      </xdr:nvSpPr>
      <xdr:spPr>
        <a:xfrm flipV="1">
          <a:off x="4400550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17</xdr:row>
      <xdr:rowOff>76200</xdr:rowOff>
    </xdr:from>
    <xdr:to>
      <xdr:col>9</xdr:col>
      <xdr:colOff>352425</xdr:colOff>
      <xdr:row>18</xdr:row>
      <xdr:rowOff>95250</xdr:rowOff>
    </xdr:to>
    <xdr:sp>
      <xdr:nvSpPr>
        <xdr:cNvPr id="38" name="Line 128"/>
        <xdr:cNvSpPr>
          <a:spLocks/>
        </xdr:cNvSpPr>
      </xdr:nvSpPr>
      <xdr:spPr>
        <a:xfrm flipV="1">
          <a:off x="4924425" y="2828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15</xdr:row>
      <xdr:rowOff>57150</xdr:rowOff>
    </xdr:from>
    <xdr:to>
      <xdr:col>9</xdr:col>
      <xdr:colOff>361950</xdr:colOff>
      <xdr:row>16</xdr:row>
      <xdr:rowOff>76200</xdr:rowOff>
    </xdr:to>
    <xdr:sp>
      <xdr:nvSpPr>
        <xdr:cNvPr id="39" name="Line 129"/>
        <xdr:cNvSpPr>
          <a:spLocks/>
        </xdr:cNvSpPr>
      </xdr:nvSpPr>
      <xdr:spPr>
        <a:xfrm flipV="1">
          <a:off x="49339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16</xdr:row>
      <xdr:rowOff>57150</xdr:rowOff>
    </xdr:from>
    <xdr:to>
      <xdr:col>10</xdr:col>
      <xdr:colOff>352425</xdr:colOff>
      <xdr:row>17</xdr:row>
      <xdr:rowOff>76200</xdr:rowOff>
    </xdr:to>
    <xdr:sp>
      <xdr:nvSpPr>
        <xdr:cNvPr id="40" name="Line 130"/>
        <xdr:cNvSpPr>
          <a:spLocks/>
        </xdr:cNvSpPr>
      </xdr:nvSpPr>
      <xdr:spPr>
        <a:xfrm flipV="1">
          <a:off x="54102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19</xdr:row>
      <xdr:rowOff>57150</xdr:rowOff>
    </xdr:from>
    <xdr:to>
      <xdr:col>5</xdr:col>
      <xdr:colOff>352425</xdr:colOff>
      <xdr:row>20</xdr:row>
      <xdr:rowOff>76200</xdr:rowOff>
    </xdr:to>
    <xdr:sp>
      <xdr:nvSpPr>
        <xdr:cNvPr id="41" name="Line 131"/>
        <xdr:cNvSpPr>
          <a:spLocks/>
        </xdr:cNvSpPr>
      </xdr:nvSpPr>
      <xdr:spPr>
        <a:xfrm flipV="1">
          <a:off x="2905125" y="3133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47625</xdr:rowOff>
    </xdr:from>
    <xdr:to>
      <xdr:col>5</xdr:col>
      <xdr:colOff>352425</xdr:colOff>
      <xdr:row>18</xdr:row>
      <xdr:rowOff>66675</xdr:rowOff>
    </xdr:to>
    <xdr:sp>
      <xdr:nvSpPr>
        <xdr:cNvPr id="42" name="Line 132"/>
        <xdr:cNvSpPr>
          <a:spLocks/>
        </xdr:cNvSpPr>
      </xdr:nvSpPr>
      <xdr:spPr>
        <a:xfrm flipV="1">
          <a:off x="2905125" y="280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57150</xdr:rowOff>
    </xdr:from>
    <xdr:to>
      <xdr:col>5</xdr:col>
      <xdr:colOff>361950</xdr:colOff>
      <xdr:row>16</xdr:row>
      <xdr:rowOff>76200</xdr:rowOff>
    </xdr:to>
    <xdr:sp>
      <xdr:nvSpPr>
        <xdr:cNvPr id="43" name="Line 133"/>
        <xdr:cNvSpPr>
          <a:spLocks/>
        </xdr:cNvSpPr>
      </xdr:nvSpPr>
      <xdr:spPr>
        <a:xfrm flipV="1">
          <a:off x="29146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57150</xdr:rowOff>
    </xdr:from>
    <xdr:to>
      <xdr:col>4</xdr:col>
      <xdr:colOff>333375</xdr:colOff>
      <xdr:row>19</xdr:row>
      <xdr:rowOff>76200</xdr:rowOff>
    </xdr:to>
    <xdr:sp>
      <xdr:nvSpPr>
        <xdr:cNvPr id="44" name="Line 134"/>
        <xdr:cNvSpPr>
          <a:spLocks/>
        </xdr:cNvSpPr>
      </xdr:nvSpPr>
      <xdr:spPr>
        <a:xfrm flipV="1">
          <a:off x="24003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16</xdr:row>
      <xdr:rowOff>57150</xdr:rowOff>
    </xdr:from>
    <xdr:to>
      <xdr:col>4</xdr:col>
      <xdr:colOff>342900</xdr:colOff>
      <xdr:row>17</xdr:row>
      <xdr:rowOff>76200</xdr:rowOff>
    </xdr:to>
    <xdr:sp>
      <xdr:nvSpPr>
        <xdr:cNvPr id="45" name="Line 135"/>
        <xdr:cNvSpPr>
          <a:spLocks/>
        </xdr:cNvSpPr>
      </xdr:nvSpPr>
      <xdr:spPr>
        <a:xfrm flipV="1">
          <a:off x="2409825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66675</xdr:rowOff>
    </xdr:from>
    <xdr:to>
      <xdr:col>3</xdr:col>
      <xdr:colOff>323850</xdr:colOff>
      <xdr:row>18</xdr:row>
      <xdr:rowOff>85725</xdr:rowOff>
    </xdr:to>
    <xdr:sp>
      <xdr:nvSpPr>
        <xdr:cNvPr id="46" name="Line 136"/>
        <xdr:cNvSpPr>
          <a:spLocks/>
        </xdr:cNvSpPr>
      </xdr:nvSpPr>
      <xdr:spPr>
        <a:xfrm flipV="1">
          <a:off x="19050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16</xdr:row>
      <xdr:rowOff>57150</xdr:rowOff>
    </xdr:from>
    <xdr:to>
      <xdr:col>2</xdr:col>
      <xdr:colOff>352425</xdr:colOff>
      <xdr:row>17</xdr:row>
      <xdr:rowOff>76200</xdr:rowOff>
    </xdr:to>
    <xdr:sp>
      <xdr:nvSpPr>
        <xdr:cNvPr id="47" name="Line 137"/>
        <xdr:cNvSpPr>
          <a:spLocks/>
        </xdr:cNvSpPr>
      </xdr:nvSpPr>
      <xdr:spPr>
        <a:xfrm flipV="1">
          <a:off x="14478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2</xdr:col>
      <xdr:colOff>133350</xdr:colOff>
      <xdr:row>16</xdr:row>
      <xdr:rowOff>142875</xdr:rowOff>
    </xdr:to>
    <xdr:sp>
      <xdr:nvSpPr>
        <xdr:cNvPr id="48" name="Line 138"/>
        <xdr:cNvSpPr>
          <a:spLocks/>
        </xdr:cNvSpPr>
      </xdr:nvSpPr>
      <xdr:spPr>
        <a:xfrm flipV="1">
          <a:off x="990600" y="26193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19050</xdr:rowOff>
    </xdr:from>
    <xdr:to>
      <xdr:col>3</xdr:col>
      <xdr:colOff>114300</xdr:colOff>
      <xdr:row>15</xdr:row>
      <xdr:rowOff>133350</xdr:rowOff>
    </xdr:to>
    <xdr:sp>
      <xdr:nvSpPr>
        <xdr:cNvPr id="49" name="Line 139"/>
        <xdr:cNvSpPr>
          <a:spLocks/>
        </xdr:cNvSpPr>
      </xdr:nvSpPr>
      <xdr:spPr>
        <a:xfrm flipV="1">
          <a:off x="1457325" y="24479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14</xdr:row>
      <xdr:rowOff>28575</xdr:rowOff>
    </xdr:from>
    <xdr:to>
      <xdr:col>4</xdr:col>
      <xdr:colOff>114300</xdr:colOff>
      <xdr:row>14</xdr:row>
      <xdr:rowOff>142875</xdr:rowOff>
    </xdr:to>
    <xdr:sp>
      <xdr:nvSpPr>
        <xdr:cNvPr id="50" name="Line 140"/>
        <xdr:cNvSpPr>
          <a:spLocks/>
        </xdr:cNvSpPr>
      </xdr:nvSpPr>
      <xdr:spPr>
        <a:xfrm flipV="1">
          <a:off x="1943100" y="22955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28575</xdr:rowOff>
    </xdr:from>
    <xdr:to>
      <xdr:col>5</xdr:col>
      <xdr:colOff>123825</xdr:colOff>
      <xdr:row>13</xdr:row>
      <xdr:rowOff>142875</xdr:rowOff>
    </xdr:to>
    <xdr:sp>
      <xdr:nvSpPr>
        <xdr:cNvPr id="51" name="Line 141"/>
        <xdr:cNvSpPr>
          <a:spLocks/>
        </xdr:cNvSpPr>
      </xdr:nvSpPr>
      <xdr:spPr>
        <a:xfrm flipV="1">
          <a:off x="2438400" y="21336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12</xdr:row>
      <xdr:rowOff>47625</xdr:rowOff>
    </xdr:from>
    <xdr:to>
      <xdr:col>6</xdr:col>
      <xdr:colOff>114300</xdr:colOff>
      <xdr:row>13</xdr:row>
      <xdr:rowOff>0</xdr:rowOff>
    </xdr:to>
    <xdr:sp>
      <xdr:nvSpPr>
        <xdr:cNvPr id="52" name="Line 142"/>
        <xdr:cNvSpPr>
          <a:spLocks/>
        </xdr:cNvSpPr>
      </xdr:nvSpPr>
      <xdr:spPr>
        <a:xfrm flipV="1">
          <a:off x="2914650" y="19907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133350</xdr:rowOff>
    </xdr:from>
    <xdr:to>
      <xdr:col>2</xdr:col>
      <xdr:colOff>104775</xdr:colOff>
      <xdr:row>15</xdr:row>
      <xdr:rowOff>114300</xdr:rowOff>
    </xdr:to>
    <xdr:sp>
      <xdr:nvSpPr>
        <xdr:cNvPr id="53" name="Line 143"/>
        <xdr:cNvSpPr>
          <a:spLocks/>
        </xdr:cNvSpPr>
      </xdr:nvSpPr>
      <xdr:spPr>
        <a:xfrm>
          <a:off x="990600" y="24003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28575</xdr:rowOff>
    </xdr:from>
    <xdr:to>
      <xdr:col>2</xdr:col>
      <xdr:colOff>104775</xdr:colOff>
      <xdr:row>14</xdr:row>
      <xdr:rowOff>9525</xdr:rowOff>
    </xdr:to>
    <xdr:sp>
      <xdr:nvSpPr>
        <xdr:cNvPr id="54" name="Line 144"/>
        <xdr:cNvSpPr>
          <a:spLocks/>
        </xdr:cNvSpPr>
      </xdr:nvSpPr>
      <xdr:spPr>
        <a:xfrm>
          <a:off x="990600" y="21336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13</xdr:row>
      <xdr:rowOff>133350</xdr:rowOff>
    </xdr:from>
    <xdr:to>
      <xdr:col>3</xdr:col>
      <xdr:colOff>85725</xdr:colOff>
      <xdr:row>14</xdr:row>
      <xdr:rowOff>114300</xdr:rowOff>
    </xdr:to>
    <xdr:sp>
      <xdr:nvSpPr>
        <xdr:cNvPr id="55" name="Line 145"/>
        <xdr:cNvSpPr>
          <a:spLocks/>
        </xdr:cNvSpPr>
      </xdr:nvSpPr>
      <xdr:spPr>
        <a:xfrm>
          <a:off x="1457325" y="2238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152400</xdr:rowOff>
    </xdr:from>
    <xdr:to>
      <xdr:col>2</xdr:col>
      <xdr:colOff>95250</xdr:colOff>
      <xdr:row>11</xdr:row>
      <xdr:rowOff>133350</xdr:rowOff>
    </xdr:to>
    <xdr:sp>
      <xdr:nvSpPr>
        <xdr:cNvPr id="56" name="Line 146"/>
        <xdr:cNvSpPr>
          <a:spLocks/>
        </xdr:cNvSpPr>
      </xdr:nvSpPr>
      <xdr:spPr>
        <a:xfrm>
          <a:off x="981075" y="17716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142875</xdr:rowOff>
    </xdr:from>
    <xdr:to>
      <xdr:col>3</xdr:col>
      <xdr:colOff>85725</xdr:colOff>
      <xdr:row>12</xdr:row>
      <xdr:rowOff>123825</xdr:rowOff>
    </xdr:to>
    <xdr:sp>
      <xdr:nvSpPr>
        <xdr:cNvPr id="57" name="Line 147"/>
        <xdr:cNvSpPr>
          <a:spLocks/>
        </xdr:cNvSpPr>
      </xdr:nvSpPr>
      <xdr:spPr>
        <a:xfrm>
          <a:off x="1457325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123825</xdr:rowOff>
    </xdr:from>
    <xdr:to>
      <xdr:col>4</xdr:col>
      <xdr:colOff>95250</xdr:colOff>
      <xdr:row>13</xdr:row>
      <xdr:rowOff>104775</xdr:rowOff>
    </xdr:to>
    <xdr:sp>
      <xdr:nvSpPr>
        <xdr:cNvPr id="58" name="Line 148"/>
        <xdr:cNvSpPr>
          <a:spLocks/>
        </xdr:cNvSpPr>
      </xdr:nvSpPr>
      <xdr:spPr>
        <a:xfrm>
          <a:off x="1952625" y="20669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8</xdr:row>
      <xdr:rowOff>123825</xdr:rowOff>
    </xdr:from>
    <xdr:to>
      <xdr:col>2</xdr:col>
      <xdr:colOff>85725</xdr:colOff>
      <xdr:row>9</xdr:row>
      <xdr:rowOff>104775</xdr:rowOff>
    </xdr:to>
    <xdr:sp>
      <xdr:nvSpPr>
        <xdr:cNvPr id="59" name="Line 149"/>
        <xdr:cNvSpPr>
          <a:spLocks/>
        </xdr:cNvSpPr>
      </xdr:nvSpPr>
      <xdr:spPr>
        <a:xfrm>
          <a:off x="971550" y="14192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152400</xdr:rowOff>
    </xdr:from>
    <xdr:to>
      <xdr:col>3</xdr:col>
      <xdr:colOff>104775</xdr:colOff>
      <xdr:row>10</xdr:row>
      <xdr:rowOff>133350</xdr:rowOff>
    </xdr:to>
    <xdr:sp>
      <xdr:nvSpPr>
        <xdr:cNvPr id="60" name="Line 150"/>
        <xdr:cNvSpPr>
          <a:spLocks/>
        </xdr:cNvSpPr>
      </xdr:nvSpPr>
      <xdr:spPr>
        <a:xfrm>
          <a:off x="1476375" y="16097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</xdr:row>
      <xdr:rowOff>142875</xdr:rowOff>
    </xdr:from>
    <xdr:to>
      <xdr:col>4</xdr:col>
      <xdr:colOff>95250</xdr:colOff>
      <xdr:row>11</xdr:row>
      <xdr:rowOff>123825</xdr:rowOff>
    </xdr:to>
    <xdr:sp>
      <xdr:nvSpPr>
        <xdr:cNvPr id="61" name="Line 151"/>
        <xdr:cNvSpPr>
          <a:spLocks/>
        </xdr:cNvSpPr>
      </xdr:nvSpPr>
      <xdr:spPr>
        <a:xfrm>
          <a:off x="1952625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11</xdr:row>
      <xdr:rowOff>142875</xdr:rowOff>
    </xdr:from>
    <xdr:to>
      <xdr:col>5</xdr:col>
      <xdr:colOff>95250</xdr:colOff>
      <xdr:row>12</xdr:row>
      <xdr:rowOff>123825</xdr:rowOff>
    </xdr:to>
    <xdr:sp>
      <xdr:nvSpPr>
        <xdr:cNvPr id="62" name="Line 152"/>
        <xdr:cNvSpPr>
          <a:spLocks/>
        </xdr:cNvSpPr>
      </xdr:nvSpPr>
      <xdr:spPr>
        <a:xfrm>
          <a:off x="2438400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123825</xdr:rowOff>
    </xdr:from>
    <xdr:to>
      <xdr:col>2</xdr:col>
      <xdr:colOff>95250</xdr:colOff>
      <xdr:row>7</xdr:row>
      <xdr:rowOff>104775</xdr:rowOff>
    </xdr:to>
    <xdr:sp>
      <xdr:nvSpPr>
        <xdr:cNvPr id="63" name="Line 153"/>
        <xdr:cNvSpPr>
          <a:spLocks/>
        </xdr:cNvSpPr>
      </xdr:nvSpPr>
      <xdr:spPr>
        <a:xfrm>
          <a:off x="981075" y="1095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0</xdr:rowOff>
    </xdr:from>
    <xdr:to>
      <xdr:col>3</xdr:col>
      <xdr:colOff>114300</xdr:colOff>
      <xdr:row>8</xdr:row>
      <xdr:rowOff>142875</xdr:rowOff>
    </xdr:to>
    <xdr:sp>
      <xdr:nvSpPr>
        <xdr:cNvPr id="64" name="Line 154"/>
        <xdr:cNvSpPr>
          <a:spLocks/>
        </xdr:cNvSpPr>
      </xdr:nvSpPr>
      <xdr:spPr>
        <a:xfrm>
          <a:off x="1485900" y="12954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</xdr:row>
      <xdr:rowOff>0</xdr:rowOff>
    </xdr:from>
    <xdr:to>
      <xdr:col>4</xdr:col>
      <xdr:colOff>123825</xdr:colOff>
      <xdr:row>9</xdr:row>
      <xdr:rowOff>142875</xdr:rowOff>
    </xdr:to>
    <xdr:sp>
      <xdr:nvSpPr>
        <xdr:cNvPr id="65" name="Line 155"/>
        <xdr:cNvSpPr>
          <a:spLocks/>
        </xdr:cNvSpPr>
      </xdr:nvSpPr>
      <xdr:spPr>
        <a:xfrm>
          <a:off x="1981200" y="14573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9525</xdr:rowOff>
    </xdr:from>
    <xdr:to>
      <xdr:col>5</xdr:col>
      <xdr:colOff>95250</xdr:colOff>
      <xdr:row>10</xdr:row>
      <xdr:rowOff>152400</xdr:rowOff>
    </xdr:to>
    <xdr:sp>
      <xdr:nvSpPr>
        <xdr:cNvPr id="66" name="Line 156"/>
        <xdr:cNvSpPr>
          <a:spLocks/>
        </xdr:cNvSpPr>
      </xdr:nvSpPr>
      <xdr:spPr>
        <a:xfrm>
          <a:off x="2438400" y="16287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10</xdr:row>
      <xdr:rowOff>142875</xdr:rowOff>
    </xdr:from>
    <xdr:to>
      <xdr:col>6</xdr:col>
      <xdr:colOff>104775</xdr:colOff>
      <xdr:row>11</xdr:row>
      <xdr:rowOff>123825</xdr:rowOff>
    </xdr:to>
    <xdr:sp>
      <xdr:nvSpPr>
        <xdr:cNvPr id="67" name="Line 157"/>
        <xdr:cNvSpPr>
          <a:spLocks/>
        </xdr:cNvSpPr>
      </xdr:nvSpPr>
      <xdr:spPr>
        <a:xfrm>
          <a:off x="2933700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15</xdr:row>
      <xdr:rowOff>123825</xdr:rowOff>
    </xdr:from>
    <xdr:to>
      <xdr:col>11</xdr:col>
      <xdr:colOff>95250</xdr:colOff>
      <xdr:row>16</xdr:row>
      <xdr:rowOff>76200</xdr:rowOff>
    </xdr:to>
    <xdr:sp>
      <xdr:nvSpPr>
        <xdr:cNvPr id="68" name="Line 158"/>
        <xdr:cNvSpPr>
          <a:spLocks/>
        </xdr:cNvSpPr>
      </xdr:nvSpPr>
      <xdr:spPr>
        <a:xfrm flipH="1" flipV="1">
          <a:off x="5400675" y="25527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14</xdr:row>
      <xdr:rowOff>123825</xdr:rowOff>
    </xdr:from>
    <xdr:to>
      <xdr:col>10</xdr:col>
      <xdr:colOff>95250</xdr:colOff>
      <xdr:row>15</xdr:row>
      <xdr:rowOff>76200</xdr:rowOff>
    </xdr:to>
    <xdr:sp>
      <xdr:nvSpPr>
        <xdr:cNvPr id="69" name="Line 159"/>
        <xdr:cNvSpPr>
          <a:spLocks/>
        </xdr:cNvSpPr>
      </xdr:nvSpPr>
      <xdr:spPr>
        <a:xfrm flipH="1" flipV="1">
          <a:off x="4914900" y="23907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114300</xdr:rowOff>
    </xdr:from>
    <xdr:to>
      <xdr:col>9</xdr:col>
      <xdr:colOff>76200</xdr:colOff>
      <xdr:row>14</xdr:row>
      <xdr:rowOff>66675</xdr:rowOff>
    </xdr:to>
    <xdr:sp>
      <xdr:nvSpPr>
        <xdr:cNvPr id="70" name="Line 160"/>
        <xdr:cNvSpPr>
          <a:spLocks/>
        </xdr:cNvSpPr>
      </xdr:nvSpPr>
      <xdr:spPr>
        <a:xfrm flipH="1" flipV="1">
          <a:off x="4333875" y="2219325"/>
          <a:ext cx="3143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142875</xdr:rowOff>
    </xdr:from>
    <xdr:to>
      <xdr:col>8</xdr:col>
      <xdr:colOff>85725</xdr:colOff>
      <xdr:row>13</xdr:row>
      <xdr:rowOff>95250</xdr:rowOff>
    </xdr:to>
    <xdr:sp>
      <xdr:nvSpPr>
        <xdr:cNvPr id="71" name="Line 161"/>
        <xdr:cNvSpPr>
          <a:spLocks/>
        </xdr:cNvSpPr>
      </xdr:nvSpPr>
      <xdr:spPr>
        <a:xfrm flipH="1" flipV="1">
          <a:off x="3857625" y="20859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12</xdr:row>
      <xdr:rowOff>0</xdr:rowOff>
    </xdr:from>
    <xdr:to>
      <xdr:col>7</xdr:col>
      <xdr:colOff>123825</xdr:colOff>
      <xdr:row>12</xdr:row>
      <xdr:rowOff>114300</xdr:rowOff>
    </xdr:to>
    <xdr:sp>
      <xdr:nvSpPr>
        <xdr:cNvPr id="72" name="Line 162"/>
        <xdr:cNvSpPr>
          <a:spLocks/>
        </xdr:cNvSpPr>
      </xdr:nvSpPr>
      <xdr:spPr>
        <a:xfrm flipH="1" flipV="1">
          <a:off x="3409950" y="19431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</xdr:row>
      <xdr:rowOff>133350</xdr:rowOff>
    </xdr:from>
    <xdr:to>
      <xdr:col>11</xdr:col>
      <xdr:colOff>114300</xdr:colOff>
      <xdr:row>7</xdr:row>
      <xdr:rowOff>133350</xdr:rowOff>
    </xdr:to>
    <xdr:sp>
      <xdr:nvSpPr>
        <xdr:cNvPr id="73" name="Line 163"/>
        <xdr:cNvSpPr>
          <a:spLocks/>
        </xdr:cNvSpPr>
      </xdr:nvSpPr>
      <xdr:spPr>
        <a:xfrm flipH="1">
          <a:off x="5438775" y="11049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9525</xdr:rowOff>
    </xdr:from>
    <xdr:to>
      <xdr:col>10</xdr:col>
      <xdr:colOff>114300</xdr:colOff>
      <xdr:row>9</xdr:row>
      <xdr:rowOff>9525</xdr:rowOff>
    </xdr:to>
    <xdr:sp>
      <xdr:nvSpPr>
        <xdr:cNvPr id="74" name="Line 164"/>
        <xdr:cNvSpPr>
          <a:spLocks/>
        </xdr:cNvSpPr>
      </xdr:nvSpPr>
      <xdr:spPr>
        <a:xfrm flipH="1">
          <a:off x="4953000" y="13049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9</xdr:row>
      <xdr:rowOff>9525</xdr:rowOff>
    </xdr:from>
    <xdr:to>
      <xdr:col>9</xdr:col>
      <xdr:colOff>85725</xdr:colOff>
      <xdr:row>10</xdr:row>
      <xdr:rowOff>9525</xdr:rowOff>
    </xdr:to>
    <xdr:sp>
      <xdr:nvSpPr>
        <xdr:cNvPr id="75" name="Line 165"/>
        <xdr:cNvSpPr>
          <a:spLocks/>
        </xdr:cNvSpPr>
      </xdr:nvSpPr>
      <xdr:spPr>
        <a:xfrm flipH="1">
          <a:off x="4362450" y="1466850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10</xdr:row>
      <xdr:rowOff>0</xdr:rowOff>
    </xdr:from>
    <xdr:to>
      <xdr:col>8</xdr:col>
      <xdr:colOff>104775</xdr:colOff>
      <xdr:row>11</xdr:row>
      <xdr:rowOff>0</xdr:rowOff>
    </xdr:to>
    <xdr:sp>
      <xdr:nvSpPr>
        <xdr:cNvPr id="76" name="Line 166"/>
        <xdr:cNvSpPr>
          <a:spLocks/>
        </xdr:cNvSpPr>
      </xdr:nvSpPr>
      <xdr:spPr>
        <a:xfrm flipH="1">
          <a:off x="3895725" y="1619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142875</xdr:rowOff>
    </xdr:from>
    <xdr:to>
      <xdr:col>7</xdr:col>
      <xdr:colOff>114300</xdr:colOff>
      <xdr:row>11</xdr:row>
      <xdr:rowOff>142875</xdr:rowOff>
    </xdr:to>
    <xdr:sp>
      <xdr:nvSpPr>
        <xdr:cNvPr id="77" name="Line 167"/>
        <xdr:cNvSpPr>
          <a:spLocks/>
        </xdr:cNvSpPr>
      </xdr:nvSpPr>
      <xdr:spPr>
        <a:xfrm flipH="1">
          <a:off x="34194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8</xdr:row>
      <xdr:rowOff>123825</xdr:rowOff>
    </xdr:from>
    <xdr:to>
      <xdr:col>11</xdr:col>
      <xdr:colOff>114300</xdr:colOff>
      <xdr:row>9</xdr:row>
      <xdr:rowOff>123825</xdr:rowOff>
    </xdr:to>
    <xdr:sp>
      <xdr:nvSpPr>
        <xdr:cNvPr id="78" name="Line 168"/>
        <xdr:cNvSpPr>
          <a:spLocks/>
        </xdr:cNvSpPr>
      </xdr:nvSpPr>
      <xdr:spPr>
        <a:xfrm flipH="1">
          <a:off x="5438775" y="14192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9</xdr:row>
      <xdr:rowOff>142875</xdr:rowOff>
    </xdr:from>
    <xdr:to>
      <xdr:col>10</xdr:col>
      <xdr:colOff>95250</xdr:colOff>
      <xdr:row>10</xdr:row>
      <xdr:rowOff>142875</xdr:rowOff>
    </xdr:to>
    <xdr:sp>
      <xdr:nvSpPr>
        <xdr:cNvPr id="79" name="Line 169"/>
        <xdr:cNvSpPr>
          <a:spLocks/>
        </xdr:cNvSpPr>
      </xdr:nvSpPr>
      <xdr:spPr>
        <a:xfrm flipH="1">
          <a:off x="4933950" y="16002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</xdr:row>
      <xdr:rowOff>142875</xdr:rowOff>
    </xdr:from>
    <xdr:to>
      <xdr:col>9</xdr:col>
      <xdr:colOff>95250</xdr:colOff>
      <xdr:row>11</xdr:row>
      <xdr:rowOff>142875</xdr:rowOff>
    </xdr:to>
    <xdr:sp>
      <xdr:nvSpPr>
        <xdr:cNvPr id="80" name="Line 170"/>
        <xdr:cNvSpPr>
          <a:spLocks/>
        </xdr:cNvSpPr>
      </xdr:nvSpPr>
      <xdr:spPr>
        <a:xfrm flipH="1">
          <a:off x="4371975" y="1762125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11</xdr:row>
      <xdr:rowOff>114300</xdr:rowOff>
    </xdr:from>
    <xdr:to>
      <xdr:col>8</xdr:col>
      <xdr:colOff>76200</xdr:colOff>
      <xdr:row>12</xdr:row>
      <xdr:rowOff>114300</xdr:rowOff>
    </xdr:to>
    <xdr:sp>
      <xdr:nvSpPr>
        <xdr:cNvPr id="81" name="Line 171"/>
        <xdr:cNvSpPr>
          <a:spLocks/>
        </xdr:cNvSpPr>
      </xdr:nvSpPr>
      <xdr:spPr>
        <a:xfrm flipH="1">
          <a:off x="3867150" y="189547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10</xdr:row>
      <xdr:rowOff>133350</xdr:rowOff>
    </xdr:from>
    <xdr:to>
      <xdr:col>11</xdr:col>
      <xdr:colOff>85725</xdr:colOff>
      <xdr:row>11</xdr:row>
      <xdr:rowOff>133350</xdr:rowOff>
    </xdr:to>
    <xdr:sp>
      <xdr:nvSpPr>
        <xdr:cNvPr id="82" name="Line 172"/>
        <xdr:cNvSpPr>
          <a:spLocks/>
        </xdr:cNvSpPr>
      </xdr:nvSpPr>
      <xdr:spPr>
        <a:xfrm flipH="1">
          <a:off x="5410200" y="17526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133350</xdr:rowOff>
    </xdr:from>
    <xdr:to>
      <xdr:col>10</xdr:col>
      <xdr:colOff>85725</xdr:colOff>
      <xdr:row>12</xdr:row>
      <xdr:rowOff>133350</xdr:rowOff>
    </xdr:to>
    <xdr:sp>
      <xdr:nvSpPr>
        <xdr:cNvPr id="83" name="Line 173"/>
        <xdr:cNvSpPr>
          <a:spLocks/>
        </xdr:cNvSpPr>
      </xdr:nvSpPr>
      <xdr:spPr>
        <a:xfrm flipH="1">
          <a:off x="4924425" y="19145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114300</xdr:rowOff>
    </xdr:from>
    <xdr:to>
      <xdr:col>9</xdr:col>
      <xdr:colOff>85725</xdr:colOff>
      <xdr:row>13</xdr:row>
      <xdr:rowOff>114300</xdr:rowOff>
    </xdr:to>
    <xdr:sp>
      <xdr:nvSpPr>
        <xdr:cNvPr id="84" name="#86"/>
        <xdr:cNvSpPr>
          <a:spLocks/>
        </xdr:cNvSpPr>
      </xdr:nvSpPr>
      <xdr:spPr>
        <a:xfrm flipH="1">
          <a:off x="4362450" y="2057400"/>
          <a:ext cx="2952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12</xdr:row>
      <xdr:rowOff>76200</xdr:rowOff>
    </xdr:from>
    <xdr:to>
      <xdr:col>11</xdr:col>
      <xdr:colOff>133350</xdr:colOff>
      <xdr:row>13</xdr:row>
      <xdr:rowOff>76200</xdr:rowOff>
    </xdr:to>
    <xdr:sp>
      <xdr:nvSpPr>
        <xdr:cNvPr id="85" name="Line 175"/>
        <xdr:cNvSpPr>
          <a:spLocks/>
        </xdr:cNvSpPr>
      </xdr:nvSpPr>
      <xdr:spPr>
        <a:xfrm flipH="1">
          <a:off x="5457825" y="20193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13</xdr:row>
      <xdr:rowOff>104775</xdr:rowOff>
    </xdr:from>
    <xdr:to>
      <xdr:col>10</xdr:col>
      <xdr:colOff>76200</xdr:colOff>
      <xdr:row>14</xdr:row>
      <xdr:rowOff>104775</xdr:rowOff>
    </xdr:to>
    <xdr:sp>
      <xdr:nvSpPr>
        <xdr:cNvPr id="86" name="Line 176"/>
        <xdr:cNvSpPr>
          <a:spLocks/>
        </xdr:cNvSpPr>
      </xdr:nvSpPr>
      <xdr:spPr>
        <a:xfrm flipH="1">
          <a:off x="4914900" y="22098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14</xdr:row>
      <xdr:rowOff>114300</xdr:rowOff>
    </xdr:from>
    <xdr:to>
      <xdr:col>11</xdr:col>
      <xdr:colOff>85725</xdr:colOff>
      <xdr:row>15</xdr:row>
      <xdr:rowOff>114300</xdr:rowOff>
    </xdr:to>
    <xdr:sp>
      <xdr:nvSpPr>
        <xdr:cNvPr id="87" name="Line 177"/>
        <xdr:cNvSpPr>
          <a:spLocks/>
        </xdr:cNvSpPr>
      </xdr:nvSpPr>
      <xdr:spPr>
        <a:xfrm flipH="1">
          <a:off x="5410200" y="2381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66675</xdr:rowOff>
    </xdr:from>
    <xdr:to>
      <xdr:col>3</xdr:col>
      <xdr:colOff>342900</xdr:colOff>
      <xdr:row>16</xdr:row>
      <xdr:rowOff>85725</xdr:rowOff>
    </xdr:to>
    <xdr:sp>
      <xdr:nvSpPr>
        <xdr:cNvPr id="88" name="Line 178"/>
        <xdr:cNvSpPr>
          <a:spLocks/>
        </xdr:cNvSpPr>
      </xdr:nvSpPr>
      <xdr:spPr>
        <a:xfrm flipV="1">
          <a:off x="1924050" y="24955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14</xdr:row>
      <xdr:rowOff>47625</xdr:rowOff>
    </xdr:from>
    <xdr:to>
      <xdr:col>4</xdr:col>
      <xdr:colOff>333375</xdr:colOff>
      <xdr:row>15</xdr:row>
      <xdr:rowOff>66675</xdr:rowOff>
    </xdr:to>
    <xdr:sp>
      <xdr:nvSpPr>
        <xdr:cNvPr id="89" name="Line 179"/>
        <xdr:cNvSpPr>
          <a:spLocks/>
        </xdr:cNvSpPr>
      </xdr:nvSpPr>
      <xdr:spPr>
        <a:xfrm flipV="1">
          <a:off x="2400300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</xdr:row>
      <xdr:rowOff>47625</xdr:rowOff>
    </xdr:from>
    <xdr:to>
      <xdr:col>5</xdr:col>
      <xdr:colOff>333375</xdr:colOff>
      <xdr:row>14</xdr:row>
      <xdr:rowOff>66675</xdr:rowOff>
    </xdr:to>
    <xdr:sp>
      <xdr:nvSpPr>
        <xdr:cNvPr id="90" name="Line 180"/>
        <xdr:cNvSpPr>
          <a:spLocks/>
        </xdr:cNvSpPr>
      </xdr:nvSpPr>
      <xdr:spPr>
        <a:xfrm flipV="1">
          <a:off x="2886075" y="2152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2</xdr:row>
      <xdr:rowOff>85725</xdr:rowOff>
    </xdr:from>
    <xdr:to>
      <xdr:col>6</xdr:col>
      <xdr:colOff>352425</xdr:colOff>
      <xdr:row>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3381375" y="4095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361950</xdr:colOff>
      <xdr:row>5</xdr:row>
      <xdr:rowOff>123825</xdr:rowOff>
    </xdr:to>
    <xdr:sp>
      <xdr:nvSpPr>
        <xdr:cNvPr id="2" name="Line 2"/>
        <xdr:cNvSpPr>
          <a:spLocks/>
        </xdr:cNvSpPr>
      </xdr:nvSpPr>
      <xdr:spPr>
        <a:xfrm>
          <a:off x="339090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85725</xdr:rowOff>
    </xdr:from>
    <xdr:to>
      <xdr:col>6</xdr:col>
      <xdr:colOff>371475</xdr:colOff>
      <xdr:row>7</xdr:row>
      <xdr:rowOff>123825</xdr:rowOff>
    </xdr:to>
    <xdr:sp>
      <xdr:nvSpPr>
        <xdr:cNvPr id="3" name="Line 3"/>
        <xdr:cNvSpPr>
          <a:spLocks/>
        </xdr:cNvSpPr>
      </xdr:nvSpPr>
      <xdr:spPr>
        <a:xfrm>
          <a:off x="340042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8</xdr:row>
      <xdr:rowOff>85725</xdr:rowOff>
    </xdr:from>
    <xdr:to>
      <xdr:col>6</xdr:col>
      <xdr:colOff>371475</xdr:colOff>
      <xdr:row>9</xdr:row>
      <xdr:rowOff>123825</xdr:rowOff>
    </xdr:to>
    <xdr:sp>
      <xdr:nvSpPr>
        <xdr:cNvPr id="4" name="Line 4"/>
        <xdr:cNvSpPr>
          <a:spLocks/>
        </xdr:cNvSpPr>
      </xdr:nvSpPr>
      <xdr:spPr>
        <a:xfrm>
          <a:off x="3400425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</xdr:row>
      <xdr:rowOff>85725</xdr:rowOff>
    </xdr:from>
    <xdr:to>
      <xdr:col>6</xdr:col>
      <xdr:colOff>381000</xdr:colOff>
      <xdr:row>11</xdr:row>
      <xdr:rowOff>123825</xdr:rowOff>
    </xdr:to>
    <xdr:sp>
      <xdr:nvSpPr>
        <xdr:cNvPr id="5" name="Line 5"/>
        <xdr:cNvSpPr>
          <a:spLocks/>
        </xdr:cNvSpPr>
      </xdr:nvSpPr>
      <xdr:spPr>
        <a:xfrm>
          <a:off x="3409950" y="1704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76200</xdr:rowOff>
    </xdr:from>
    <xdr:to>
      <xdr:col>7</xdr:col>
      <xdr:colOff>381000</xdr:colOff>
      <xdr:row>4</xdr:row>
      <xdr:rowOff>114300</xdr:rowOff>
    </xdr:to>
    <xdr:sp>
      <xdr:nvSpPr>
        <xdr:cNvPr id="6" name="Line 6"/>
        <xdr:cNvSpPr>
          <a:spLocks/>
        </xdr:cNvSpPr>
      </xdr:nvSpPr>
      <xdr:spPr>
        <a:xfrm>
          <a:off x="3895725" y="561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76200</xdr:rowOff>
    </xdr:from>
    <xdr:to>
      <xdr:col>7</xdr:col>
      <xdr:colOff>381000</xdr:colOff>
      <xdr:row>6</xdr:row>
      <xdr:rowOff>114300</xdr:rowOff>
    </xdr:to>
    <xdr:sp>
      <xdr:nvSpPr>
        <xdr:cNvPr id="7" name="Line 7"/>
        <xdr:cNvSpPr>
          <a:spLocks/>
        </xdr:cNvSpPr>
      </xdr:nvSpPr>
      <xdr:spPr>
        <a:xfrm>
          <a:off x="389572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7</xdr:row>
      <xdr:rowOff>76200</xdr:rowOff>
    </xdr:from>
    <xdr:to>
      <xdr:col>7</xdr:col>
      <xdr:colOff>381000</xdr:colOff>
      <xdr:row>8</xdr:row>
      <xdr:rowOff>114300</xdr:rowOff>
    </xdr:to>
    <xdr:sp>
      <xdr:nvSpPr>
        <xdr:cNvPr id="8" name="Line 8"/>
        <xdr:cNvSpPr>
          <a:spLocks/>
        </xdr:cNvSpPr>
      </xdr:nvSpPr>
      <xdr:spPr>
        <a:xfrm>
          <a:off x="38957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9</xdr:row>
      <xdr:rowOff>76200</xdr:rowOff>
    </xdr:from>
    <xdr:to>
      <xdr:col>7</xdr:col>
      <xdr:colOff>371475</xdr:colOff>
      <xdr:row>10</xdr:row>
      <xdr:rowOff>114300</xdr:rowOff>
    </xdr:to>
    <xdr:sp>
      <xdr:nvSpPr>
        <xdr:cNvPr id="9" name="Line 9"/>
        <xdr:cNvSpPr>
          <a:spLocks/>
        </xdr:cNvSpPr>
      </xdr:nvSpPr>
      <xdr:spPr>
        <a:xfrm>
          <a:off x="3886200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361950</xdr:colOff>
      <xdr:row>5</xdr:row>
      <xdr:rowOff>123825</xdr:rowOff>
    </xdr:to>
    <xdr:sp>
      <xdr:nvSpPr>
        <xdr:cNvPr id="10" name="Line 10"/>
        <xdr:cNvSpPr>
          <a:spLocks/>
        </xdr:cNvSpPr>
      </xdr:nvSpPr>
      <xdr:spPr>
        <a:xfrm>
          <a:off x="436245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76200</xdr:rowOff>
    </xdr:from>
    <xdr:to>
      <xdr:col>8</xdr:col>
      <xdr:colOff>371475</xdr:colOff>
      <xdr:row>7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371975" y="104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76200</xdr:rowOff>
    </xdr:from>
    <xdr:to>
      <xdr:col>8</xdr:col>
      <xdr:colOff>371475</xdr:colOff>
      <xdr:row>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4371975" y="13716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85725</xdr:rowOff>
    </xdr:from>
    <xdr:to>
      <xdr:col>9</xdr:col>
      <xdr:colOff>361950</xdr:colOff>
      <xdr:row>6</xdr:row>
      <xdr:rowOff>123825</xdr:rowOff>
    </xdr:to>
    <xdr:sp>
      <xdr:nvSpPr>
        <xdr:cNvPr id="13" name="Line 13"/>
        <xdr:cNvSpPr>
          <a:spLocks/>
        </xdr:cNvSpPr>
      </xdr:nvSpPr>
      <xdr:spPr>
        <a:xfrm>
          <a:off x="4848225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76200</xdr:rowOff>
    </xdr:from>
    <xdr:to>
      <xdr:col>9</xdr:col>
      <xdr:colOff>361950</xdr:colOff>
      <xdr:row>8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48482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6</xdr:row>
      <xdr:rowOff>85725</xdr:rowOff>
    </xdr:from>
    <xdr:to>
      <xdr:col>10</xdr:col>
      <xdr:colOff>352425</xdr:colOff>
      <xdr:row>7</xdr:row>
      <xdr:rowOff>123825</xdr:rowOff>
    </xdr:to>
    <xdr:sp>
      <xdr:nvSpPr>
        <xdr:cNvPr id="15" name="Line 15"/>
        <xdr:cNvSpPr>
          <a:spLocks/>
        </xdr:cNvSpPr>
      </xdr:nvSpPr>
      <xdr:spPr>
        <a:xfrm>
          <a:off x="532447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</xdr:row>
      <xdr:rowOff>85725</xdr:rowOff>
    </xdr:from>
    <xdr:to>
      <xdr:col>5</xdr:col>
      <xdr:colOff>371475</xdr:colOff>
      <xdr:row>4</xdr:row>
      <xdr:rowOff>123825</xdr:rowOff>
    </xdr:to>
    <xdr:sp>
      <xdr:nvSpPr>
        <xdr:cNvPr id="16" name="Line 16"/>
        <xdr:cNvSpPr>
          <a:spLocks/>
        </xdr:cNvSpPr>
      </xdr:nvSpPr>
      <xdr:spPr>
        <a:xfrm>
          <a:off x="2914650" y="5715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76200</xdr:rowOff>
    </xdr:from>
    <xdr:to>
      <xdr:col>5</xdr:col>
      <xdr:colOff>381000</xdr:colOff>
      <xdr:row>6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292417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95250</xdr:rowOff>
    </xdr:from>
    <xdr:to>
      <xdr:col>5</xdr:col>
      <xdr:colOff>381000</xdr:colOff>
      <xdr:row>8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2924175" y="12287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381000</xdr:colOff>
      <xdr:row>10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2924175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</xdr:row>
      <xdr:rowOff>95250</xdr:rowOff>
    </xdr:from>
    <xdr:to>
      <xdr:col>4</xdr:col>
      <xdr:colOff>361950</xdr:colOff>
      <xdr:row>5</xdr:row>
      <xdr:rowOff>133350</xdr:rowOff>
    </xdr:to>
    <xdr:sp>
      <xdr:nvSpPr>
        <xdr:cNvPr id="20" name="Line 20"/>
        <xdr:cNvSpPr>
          <a:spLocks/>
        </xdr:cNvSpPr>
      </xdr:nvSpPr>
      <xdr:spPr>
        <a:xfrm>
          <a:off x="2419350" y="7429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6</xdr:row>
      <xdr:rowOff>66675</xdr:rowOff>
    </xdr:from>
    <xdr:to>
      <xdr:col>4</xdr:col>
      <xdr:colOff>371475</xdr:colOff>
      <xdr:row>7</xdr:row>
      <xdr:rowOff>104775</xdr:rowOff>
    </xdr:to>
    <xdr:sp>
      <xdr:nvSpPr>
        <xdr:cNvPr id="21" name="Line 21"/>
        <xdr:cNvSpPr>
          <a:spLocks/>
        </xdr:cNvSpPr>
      </xdr:nvSpPr>
      <xdr:spPr>
        <a:xfrm>
          <a:off x="2428875" y="10382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85725</xdr:rowOff>
    </xdr:from>
    <xdr:to>
      <xdr:col>4</xdr:col>
      <xdr:colOff>361950</xdr:colOff>
      <xdr:row>9</xdr:row>
      <xdr:rowOff>123825</xdr:rowOff>
    </xdr:to>
    <xdr:sp>
      <xdr:nvSpPr>
        <xdr:cNvPr id="22" name="Line 22"/>
        <xdr:cNvSpPr>
          <a:spLocks/>
        </xdr:cNvSpPr>
      </xdr:nvSpPr>
      <xdr:spPr>
        <a:xfrm>
          <a:off x="2419350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</xdr:row>
      <xdr:rowOff>85725</xdr:rowOff>
    </xdr:from>
    <xdr:to>
      <xdr:col>3</xdr:col>
      <xdr:colOff>390525</xdr:colOff>
      <xdr:row>6</xdr:row>
      <xdr:rowOff>123825</xdr:rowOff>
    </xdr:to>
    <xdr:sp>
      <xdr:nvSpPr>
        <xdr:cNvPr id="23" name="Line 23"/>
        <xdr:cNvSpPr>
          <a:spLocks/>
        </xdr:cNvSpPr>
      </xdr:nvSpPr>
      <xdr:spPr>
        <a:xfrm>
          <a:off x="1962150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</xdr:row>
      <xdr:rowOff>66675</xdr:rowOff>
    </xdr:from>
    <xdr:to>
      <xdr:col>3</xdr:col>
      <xdr:colOff>390525</xdr:colOff>
      <xdr:row>8</xdr:row>
      <xdr:rowOff>104775</xdr:rowOff>
    </xdr:to>
    <xdr:sp>
      <xdr:nvSpPr>
        <xdr:cNvPr id="24" name="Line 24"/>
        <xdr:cNvSpPr>
          <a:spLocks/>
        </xdr:cNvSpPr>
      </xdr:nvSpPr>
      <xdr:spPr>
        <a:xfrm>
          <a:off x="1962150" y="12001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6</xdr:row>
      <xdr:rowOff>85725</xdr:rowOff>
    </xdr:from>
    <xdr:to>
      <xdr:col>2</xdr:col>
      <xdr:colOff>381000</xdr:colOff>
      <xdr:row>7</xdr:row>
      <xdr:rowOff>123825</xdr:rowOff>
    </xdr:to>
    <xdr:sp>
      <xdr:nvSpPr>
        <xdr:cNvPr id="25" name="Line 25"/>
        <xdr:cNvSpPr>
          <a:spLocks/>
        </xdr:cNvSpPr>
      </xdr:nvSpPr>
      <xdr:spPr>
        <a:xfrm>
          <a:off x="1466850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57150</xdr:rowOff>
    </xdr:from>
    <xdr:to>
      <xdr:col>6</xdr:col>
      <xdr:colOff>342900</xdr:colOff>
      <xdr:row>21</xdr:row>
      <xdr:rowOff>76200</xdr:rowOff>
    </xdr:to>
    <xdr:sp>
      <xdr:nvSpPr>
        <xdr:cNvPr id="26" name="Line 26"/>
        <xdr:cNvSpPr>
          <a:spLocks/>
        </xdr:cNvSpPr>
      </xdr:nvSpPr>
      <xdr:spPr>
        <a:xfrm flipV="1">
          <a:off x="3381375" y="3295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57150</xdr:rowOff>
    </xdr:from>
    <xdr:to>
      <xdr:col>6</xdr:col>
      <xdr:colOff>352425</xdr:colOff>
      <xdr:row>19</xdr:row>
      <xdr:rowOff>76200</xdr:rowOff>
    </xdr:to>
    <xdr:sp>
      <xdr:nvSpPr>
        <xdr:cNvPr id="27" name="Line 27"/>
        <xdr:cNvSpPr>
          <a:spLocks/>
        </xdr:cNvSpPr>
      </xdr:nvSpPr>
      <xdr:spPr>
        <a:xfrm flipV="1">
          <a:off x="33909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16</xdr:row>
      <xdr:rowOff>57150</xdr:rowOff>
    </xdr:from>
    <xdr:to>
      <xdr:col>6</xdr:col>
      <xdr:colOff>352425</xdr:colOff>
      <xdr:row>17</xdr:row>
      <xdr:rowOff>76200</xdr:rowOff>
    </xdr:to>
    <xdr:sp>
      <xdr:nvSpPr>
        <xdr:cNvPr id="28" name="Line 28"/>
        <xdr:cNvSpPr>
          <a:spLocks/>
        </xdr:cNvSpPr>
      </xdr:nvSpPr>
      <xdr:spPr>
        <a:xfrm flipV="1">
          <a:off x="33909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14</xdr:row>
      <xdr:rowOff>47625</xdr:rowOff>
    </xdr:from>
    <xdr:to>
      <xdr:col>6</xdr:col>
      <xdr:colOff>361950</xdr:colOff>
      <xdr:row>15</xdr:row>
      <xdr:rowOff>66675</xdr:rowOff>
    </xdr:to>
    <xdr:sp>
      <xdr:nvSpPr>
        <xdr:cNvPr id="29" name="Line 29"/>
        <xdr:cNvSpPr>
          <a:spLocks/>
        </xdr:cNvSpPr>
      </xdr:nvSpPr>
      <xdr:spPr>
        <a:xfrm flipV="1">
          <a:off x="3400425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66675</xdr:rowOff>
    </xdr:from>
    <xdr:to>
      <xdr:col>6</xdr:col>
      <xdr:colOff>381000</xdr:colOff>
      <xdr:row>13</xdr:row>
      <xdr:rowOff>85725</xdr:rowOff>
    </xdr:to>
    <xdr:sp>
      <xdr:nvSpPr>
        <xdr:cNvPr id="30" name="Line 30"/>
        <xdr:cNvSpPr>
          <a:spLocks/>
        </xdr:cNvSpPr>
      </xdr:nvSpPr>
      <xdr:spPr>
        <a:xfrm flipV="1">
          <a:off x="3419475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19</xdr:row>
      <xdr:rowOff>66675</xdr:rowOff>
    </xdr:from>
    <xdr:to>
      <xdr:col>7</xdr:col>
      <xdr:colOff>342900</xdr:colOff>
      <xdr:row>20</xdr:row>
      <xdr:rowOff>85725</xdr:rowOff>
    </xdr:to>
    <xdr:sp>
      <xdr:nvSpPr>
        <xdr:cNvPr id="31" name="Line 31"/>
        <xdr:cNvSpPr>
          <a:spLocks/>
        </xdr:cNvSpPr>
      </xdr:nvSpPr>
      <xdr:spPr>
        <a:xfrm flipV="1">
          <a:off x="386715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17</xdr:row>
      <xdr:rowOff>66675</xdr:rowOff>
    </xdr:from>
    <xdr:to>
      <xdr:col>7</xdr:col>
      <xdr:colOff>361950</xdr:colOff>
      <xdr:row>18</xdr:row>
      <xdr:rowOff>85725</xdr:rowOff>
    </xdr:to>
    <xdr:sp>
      <xdr:nvSpPr>
        <xdr:cNvPr id="32" name="Line 32"/>
        <xdr:cNvSpPr>
          <a:spLocks/>
        </xdr:cNvSpPr>
      </xdr:nvSpPr>
      <xdr:spPr>
        <a:xfrm flipV="1">
          <a:off x="38862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57150</xdr:rowOff>
    </xdr:from>
    <xdr:to>
      <xdr:col>7</xdr:col>
      <xdr:colOff>371475</xdr:colOff>
      <xdr:row>16</xdr:row>
      <xdr:rowOff>76200</xdr:rowOff>
    </xdr:to>
    <xdr:sp>
      <xdr:nvSpPr>
        <xdr:cNvPr id="33" name="Line 33"/>
        <xdr:cNvSpPr>
          <a:spLocks/>
        </xdr:cNvSpPr>
      </xdr:nvSpPr>
      <xdr:spPr>
        <a:xfrm flipV="1">
          <a:off x="3895725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13</xdr:row>
      <xdr:rowOff>57150</xdr:rowOff>
    </xdr:from>
    <xdr:to>
      <xdr:col>7</xdr:col>
      <xdr:colOff>381000</xdr:colOff>
      <xdr:row>14</xdr:row>
      <xdr:rowOff>76200</xdr:rowOff>
    </xdr:to>
    <xdr:sp>
      <xdr:nvSpPr>
        <xdr:cNvPr id="34" name="Line 34"/>
        <xdr:cNvSpPr>
          <a:spLocks/>
        </xdr:cNvSpPr>
      </xdr:nvSpPr>
      <xdr:spPr>
        <a:xfrm flipV="1">
          <a:off x="3905250" y="2162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</xdr:row>
      <xdr:rowOff>57150</xdr:rowOff>
    </xdr:from>
    <xdr:to>
      <xdr:col>8</xdr:col>
      <xdr:colOff>361950</xdr:colOff>
      <xdr:row>19</xdr:row>
      <xdr:rowOff>76200</xdr:rowOff>
    </xdr:to>
    <xdr:sp>
      <xdr:nvSpPr>
        <xdr:cNvPr id="35" name="Line 35"/>
        <xdr:cNvSpPr>
          <a:spLocks/>
        </xdr:cNvSpPr>
      </xdr:nvSpPr>
      <xdr:spPr>
        <a:xfrm flipV="1">
          <a:off x="4371975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47625</xdr:rowOff>
    </xdr:from>
    <xdr:to>
      <xdr:col>8</xdr:col>
      <xdr:colOff>371475</xdr:colOff>
      <xdr:row>17</xdr:row>
      <xdr:rowOff>66675</xdr:rowOff>
    </xdr:to>
    <xdr:sp>
      <xdr:nvSpPr>
        <xdr:cNvPr id="36" name="Line 36"/>
        <xdr:cNvSpPr>
          <a:spLocks/>
        </xdr:cNvSpPr>
      </xdr:nvSpPr>
      <xdr:spPr>
        <a:xfrm flipV="1">
          <a:off x="4381500" y="2638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14</xdr:row>
      <xdr:rowOff>47625</xdr:rowOff>
    </xdr:from>
    <xdr:to>
      <xdr:col>8</xdr:col>
      <xdr:colOff>390525</xdr:colOff>
      <xdr:row>15</xdr:row>
      <xdr:rowOff>66675</xdr:rowOff>
    </xdr:to>
    <xdr:sp>
      <xdr:nvSpPr>
        <xdr:cNvPr id="37" name="Line 37"/>
        <xdr:cNvSpPr>
          <a:spLocks/>
        </xdr:cNvSpPr>
      </xdr:nvSpPr>
      <xdr:spPr>
        <a:xfrm flipV="1">
          <a:off x="4400550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17</xdr:row>
      <xdr:rowOff>76200</xdr:rowOff>
    </xdr:from>
    <xdr:to>
      <xdr:col>9</xdr:col>
      <xdr:colOff>352425</xdr:colOff>
      <xdr:row>18</xdr:row>
      <xdr:rowOff>95250</xdr:rowOff>
    </xdr:to>
    <xdr:sp>
      <xdr:nvSpPr>
        <xdr:cNvPr id="38" name="Line 38"/>
        <xdr:cNvSpPr>
          <a:spLocks/>
        </xdr:cNvSpPr>
      </xdr:nvSpPr>
      <xdr:spPr>
        <a:xfrm flipV="1">
          <a:off x="4848225" y="2828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15</xdr:row>
      <xdr:rowOff>57150</xdr:rowOff>
    </xdr:from>
    <xdr:to>
      <xdr:col>9</xdr:col>
      <xdr:colOff>361950</xdr:colOff>
      <xdr:row>16</xdr:row>
      <xdr:rowOff>76200</xdr:rowOff>
    </xdr:to>
    <xdr:sp>
      <xdr:nvSpPr>
        <xdr:cNvPr id="39" name="Line 39"/>
        <xdr:cNvSpPr>
          <a:spLocks/>
        </xdr:cNvSpPr>
      </xdr:nvSpPr>
      <xdr:spPr>
        <a:xfrm flipV="1">
          <a:off x="48577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16</xdr:row>
      <xdr:rowOff>57150</xdr:rowOff>
    </xdr:from>
    <xdr:to>
      <xdr:col>10</xdr:col>
      <xdr:colOff>352425</xdr:colOff>
      <xdr:row>17</xdr:row>
      <xdr:rowOff>76200</xdr:rowOff>
    </xdr:to>
    <xdr:sp>
      <xdr:nvSpPr>
        <xdr:cNvPr id="40" name="Line 40"/>
        <xdr:cNvSpPr>
          <a:spLocks/>
        </xdr:cNvSpPr>
      </xdr:nvSpPr>
      <xdr:spPr>
        <a:xfrm flipV="1">
          <a:off x="53340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19</xdr:row>
      <xdr:rowOff>57150</xdr:rowOff>
    </xdr:from>
    <xdr:to>
      <xdr:col>5</xdr:col>
      <xdr:colOff>352425</xdr:colOff>
      <xdr:row>20</xdr:row>
      <xdr:rowOff>76200</xdr:rowOff>
    </xdr:to>
    <xdr:sp>
      <xdr:nvSpPr>
        <xdr:cNvPr id="41" name="Line 41"/>
        <xdr:cNvSpPr>
          <a:spLocks/>
        </xdr:cNvSpPr>
      </xdr:nvSpPr>
      <xdr:spPr>
        <a:xfrm flipV="1">
          <a:off x="2905125" y="3133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47625</xdr:rowOff>
    </xdr:from>
    <xdr:to>
      <xdr:col>5</xdr:col>
      <xdr:colOff>352425</xdr:colOff>
      <xdr:row>18</xdr:row>
      <xdr:rowOff>66675</xdr:rowOff>
    </xdr:to>
    <xdr:sp>
      <xdr:nvSpPr>
        <xdr:cNvPr id="42" name="Line 42"/>
        <xdr:cNvSpPr>
          <a:spLocks/>
        </xdr:cNvSpPr>
      </xdr:nvSpPr>
      <xdr:spPr>
        <a:xfrm flipV="1">
          <a:off x="2905125" y="280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57150</xdr:rowOff>
    </xdr:from>
    <xdr:to>
      <xdr:col>5</xdr:col>
      <xdr:colOff>361950</xdr:colOff>
      <xdr:row>16</xdr:row>
      <xdr:rowOff>76200</xdr:rowOff>
    </xdr:to>
    <xdr:sp>
      <xdr:nvSpPr>
        <xdr:cNvPr id="43" name="Line 43"/>
        <xdr:cNvSpPr>
          <a:spLocks/>
        </xdr:cNvSpPr>
      </xdr:nvSpPr>
      <xdr:spPr>
        <a:xfrm flipV="1">
          <a:off x="29146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57150</xdr:rowOff>
    </xdr:from>
    <xdr:to>
      <xdr:col>4</xdr:col>
      <xdr:colOff>333375</xdr:colOff>
      <xdr:row>19</xdr:row>
      <xdr:rowOff>76200</xdr:rowOff>
    </xdr:to>
    <xdr:sp>
      <xdr:nvSpPr>
        <xdr:cNvPr id="44" name="Line 44"/>
        <xdr:cNvSpPr>
          <a:spLocks/>
        </xdr:cNvSpPr>
      </xdr:nvSpPr>
      <xdr:spPr>
        <a:xfrm flipV="1">
          <a:off x="24003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16</xdr:row>
      <xdr:rowOff>57150</xdr:rowOff>
    </xdr:from>
    <xdr:to>
      <xdr:col>4</xdr:col>
      <xdr:colOff>342900</xdr:colOff>
      <xdr:row>17</xdr:row>
      <xdr:rowOff>76200</xdr:rowOff>
    </xdr:to>
    <xdr:sp>
      <xdr:nvSpPr>
        <xdr:cNvPr id="45" name="Line 45"/>
        <xdr:cNvSpPr>
          <a:spLocks/>
        </xdr:cNvSpPr>
      </xdr:nvSpPr>
      <xdr:spPr>
        <a:xfrm flipV="1">
          <a:off x="2409825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66675</xdr:rowOff>
    </xdr:from>
    <xdr:to>
      <xdr:col>3</xdr:col>
      <xdr:colOff>323850</xdr:colOff>
      <xdr:row>18</xdr:row>
      <xdr:rowOff>85725</xdr:rowOff>
    </xdr:to>
    <xdr:sp>
      <xdr:nvSpPr>
        <xdr:cNvPr id="46" name="Line 46"/>
        <xdr:cNvSpPr>
          <a:spLocks/>
        </xdr:cNvSpPr>
      </xdr:nvSpPr>
      <xdr:spPr>
        <a:xfrm flipV="1">
          <a:off x="19050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16</xdr:row>
      <xdr:rowOff>57150</xdr:rowOff>
    </xdr:from>
    <xdr:to>
      <xdr:col>2</xdr:col>
      <xdr:colOff>352425</xdr:colOff>
      <xdr:row>17</xdr:row>
      <xdr:rowOff>76200</xdr:rowOff>
    </xdr:to>
    <xdr:sp>
      <xdr:nvSpPr>
        <xdr:cNvPr id="47" name="Line 47"/>
        <xdr:cNvSpPr>
          <a:spLocks/>
        </xdr:cNvSpPr>
      </xdr:nvSpPr>
      <xdr:spPr>
        <a:xfrm flipV="1">
          <a:off x="14478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2</xdr:col>
      <xdr:colOff>133350</xdr:colOff>
      <xdr:row>16</xdr:row>
      <xdr:rowOff>142875</xdr:rowOff>
    </xdr:to>
    <xdr:sp>
      <xdr:nvSpPr>
        <xdr:cNvPr id="48" name="Line 48"/>
        <xdr:cNvSpPr>
          <a:spLocks/>
        </xdr:cNvSpPr>
      </xdr:nvSpPr>
      <xdr:spPr>
        <a:xfrm flipV="1">
          <a:off x="990600" y="26193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19050</xdr:rowOff>
    </xdr:from>
    <xdr:to>
      <xdr:col>3</xdr:col>
      <xdr:colOff>114300</xdr:colOff>
      <xdr:row>15</xdr:row>
      <xdr:rowOff>133350</xdr:rowOff>
    </xdr:to>
    <xdr:sp>
      <xdr:nvSpPr>
        <xdr:cNvPr id="49" name="Line 49"/>
        <xdr:cNvSpPr>
          <a:spLocks/>
        </xdr:cNvSpPr>
      </xdr:nvSpPr>
      <xdr:spPr>
        <a:xfrm flipV="1">
          <a:off x="1457325" y="24479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14</xdr:row>
      <xdr:rowOff>28575</xdr:rowOff>
    </xdr:from>
    <xdr:to>
      <xdr:col>4</xdr:col>
      <xdr:colOff>114300</xdr:colOff>
      <xdr:row>14</xdr:row>
      <xdr:rowOff>142875</xdr:rowOff>
    </xdr:to>
    <xdr:sp>
      <xdr:nvSpPr>
        <xdr:cNvPr id="50" name="Line 50"/>
        <xdr:cNvSpPr>
          <a:spLocks/>
        </xdr:cNvSpPr>
      </xdr:nvSpPr>
      <xdr:spPr>
        <a:xfrm flipV="1">
          <a:off x="1943100" y="22955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28575</xdr:rowOff>
    </xdr:from>
    <xdr:to>
      <xdr:col>5</xdr:col>
      <xdr:colOff>123825</xdr:colOff>
      <xdr:row>13</xdr:row>
      <xdr:rowOff>142875</xdr:rowOff>
    </xdr:to>
    <xdr:sp>
      <xdr:nvSpPr>
        <xdr:cNvPr id="51" name="Line 51"/>
        <xdr:cNvSpPr>
          <a:spLocks/>
        </xdr:cNvSpPr>
      </xdr:nvSpPr>
      <xdr:spPr>
        <a:xfrm flipV="1">
          <a:off x="2438400" y="21336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12</xdr:row>
      <xdr:rowOff>47625</xdr:rowOff>
    </xdr:from>
    <xdr:to>
      <xdr:col>6</xdr:col>
      <xdr:colOff>114300</xdr:colOff>
      <xdr:row>13</xdr:row>
      <xdr:rowOff>0</xdr:rowOff>
    </xdr:to>
    <xdr:sp>
      <xdr:nvSpPr>
        <xdr:cNvPr id="52" name="Line 52"/>
        <xdr:cNvSpPr>
          <a:spLocks/>
        </xdr:cNvSpPr>
      </xdr:nvSpPr>
      <xdr:spPr>
        <a:xfrm flipV="1">
          <a:off x="2914650" y="19907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133350</xdr:rowOff>
    </xdr:from>
    <xdr:to>
      <xdr:col>2</xdr:col>
      <xdr:colOff>104775</xdr:colOff>
      <xdr:row>15</xdr:row>
      <xdr:rowOff>114300</xdr:rowOff>
    </xdr:to>
    <xdr:sp>
      <xdr:nvSpPr>
        <xdr:cNvPr id="53" name="Line 53"/>
        <xdr:cNvSpPr>
          <a:spLocks/>
        </xdr:cNvSpPr>
      </xdr:nvSpPr>
      <xdr:spPr>
        <a:xfrm>
          <a:off x="990600" y="24003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28575</xdr:rowOff>
    </xdr:from>
    <xdr:to>
      <xdr:col>2</xdr:col>
      <xdr:colOff>104775</xdr:colOff>
      <xdr:row>14</xdr:row>
      <xdr:rowOff>9525</xdr:rowOff>
    </xdr:to>
    <xdr:sp>
      <xdr:nvSpPr>
        <xdr:cNvPr id="54" name="Line 54"/>
        <xdr:cNvSpPr>
          <a:spLocks/>
        </xdr:cNvSpPr>
      </xdr:nvSpPr>
      <xdr:spPr>
        <a:xfrm>
          <a:off x="990600" y="21336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13</xdr:row>
      <xdr:rowOff>133350</xdr:rowOff>
    </xdr:from>
    <xdr:to>
      <xdr:col>3</xdr:col>
      <xdr:colOff>85725</xdr:colOff>
      <xdr:row>14</xdr:row>
      <xdr:rowOff>114300</xdr:rowOff>
    </xdr:to>
    <xdr:sp>
      <xdr:nvSpPr>
        <xdr:cNvPr id="55" name="Line 55"/>
        <xdr:cNvSpPr>
          <a:spLocks/>
        </xdr:cNvSpPr>
      </xdr:nvSpPr>
      <xdr:spPr>
        <a:xfrm>
          <a:off x="1457325" y="2238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152400</xdr:rowOff>
    </xdr:from>
    <xdr:to>
      <xdr:col>2</xdr:col>
      <xdr:colOff>95250</xdr:colOff>
      <xdr:row>11</xdr:row>
      <xdr:rowOff>133350</xdr:rowOff>
    </xdr:to>
    <xdr:sp>
      <xdr:nvSpPr>
        <xdr:cNvPr id="56" name="Line 56"/>
        <xdr:cNvSpPr>
          <a:spLocks/>
        </xdr:cNvSpPr>
      </xdr:nvSpPr>
      <xdr:spPr>
        <a:xfrm>
          <a:off x="981075" y="17716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142875</xdr:rowOff>
    </xdr:from>
    <xdr:to>
      <xdr:col>3</xdr:col>
      <xdr:colOff>85725</xdr:colOff>
      <xdr:row>12</xdr:row>
      <xdr:rowOff>123825</xdr:rowOff>
    </xdr:to>
    <xdr:sp>
      <xdr:nvSpPr>
        <xdr:cNvPr id="57" name="Line 57"/>
        <xdr:cNvSpPr>
          <a:spLocks/>
        </xdr:cNvSpPr>
      </xdr:nvSpPr>
      <xdr:spPr>
        <a:xfrm>
          <a:off x="1457325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123825</xdr:rowOff>
    </xdr:from>
    <xdr:to>
      <xdr:col>4</xdr:col>
      <xdr:colOff>95250</xdr:colOff>
      <xdr:row>13</xdr:row>
      <xdr:rowOff>104775</xdr:rowOff>
    </xdr:to>
    <xdr:sp>
      <xdr:nvSpPr>
        <xdr:cNvPr id="58" name="Line 58"/>
        <xdr:cNvSpPr>
          <a:spLocks/>
        </xdr:cNvSpPr>
      </xdr:nvSpPr>
      <xdr:spPr>
        <a:xfrm>
          <a:off x="1952625" y="20669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8</xdr:row>
      <xdr:rowOff>123825</xdr:rowOff>
    </xdr:from>
    <xdr:to>
      <xdr:col>2</xdr:col>
      <xdr:colOff>85725</xdr:colOff>
      <xdr:row>9</xdr:row>
      <xdr:rowOff>104775</xdr:rowOff>
    </xdr:to>
    <xdr:sp>
      <xdr:nvSpPr>
        <xdr:cNvPr id="59" name="Line 59"/>
        <xdr:cNvSpPr>
          <a:spLocks/>
        </xdr:cNvSpPr>
      </xdr:nvSpPr>
      <xdr:spPr>
        <a:xfrm>
          <a:off x="971550" y="14192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152400</xdr:rowOff>
    </xdr:from>
    <xdr:to>
      <xdr:col>3</xdr:col>
      <xdr:colOff>104775</xdr:colOff>
      <xdr:row>10</xdr:row>
      <xdr:rowOff>133350</xdr:rowOff>
    </xdr:to>
    <xdr:sp>
      <xdr:nvSpPr>
        <xdr:cNvPr id="60" name="Line 60"/>
        <xdr:cNvSpPr>
          <a:spLocks/>
        </xdr:cNvSpPr>
      </xdr:nvSpPr>
      <xdr:spPr>
        <a:xfrm>
          <a:off x="1476375" y="16097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</xdr:row>
      <xdr:rowOff>142875</xdr:rowOff>
    </xdr:from>
    <xdr:to>
      <xdr:col>4</xdr:col>
      <xdr:colOff>95250</xdr:colOff>
      <xdr:row>11</xdr:row>
      <xdr:rowOff>123825</xdr:rowOff>
    </xdr:to>
    <xdr:sp>
      <xdr:nvSpPr>
        <xdr:cNvPr id="61" name="Line 61"/>
        <xdr:cNvSpPr>
          <a:spLocks/>
        </xdr:cNvSpPr>
      </xdr:nvSpPr>
      <xdr:spPr>
        <a:xfrm>
          <a:off x="1952625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11</xdr:row>
      <xdr:rowOff>142875</xdr:rowOff>
    </xdr:from>
    <xdr:to>
      <xdr:col>5</xdr:col>
      <xdr:colOff>95250</xdr:colOff>
      <xdr:row>12</xdr:row>
      <xdr:rowOff>123825</xdr:rowOff>
    </xdr:to>
    <xdr:sp>
      <xdr:nvSpPr>
        <xdr:cNvPr id="62" name="Line 62"/>
        <xdr:cNvSpPr>
          <a:spLocks/>
        </xdr:cNvSpPr>
      </xdr:nvSpPr>
      <xdr:spPr>
        <a:xfrm>
          <a:off x="2438400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123825</xdr:rowOff>
    </xdr:from>
    <xdr:to>
      <xdr:col>2</xdr:col>
      <xdr:colOff>95250</xdr:colOff>
      <xdr:row>7</xdr:row>
      <xdr:rowOff>104775</xdr:rowOff>
    </xdr:to>
    <xdr:sp>
      <xdr:nvSpPr>
        <xdr:cNvPr id="63" name="Line 63"/>
        <xdr:cNvSpPr>
          <a:spLocks/>
        </xdr:cNvSpPr>
      </xdr:nvSpPr>
      <xdr:spPr>
        <a:xfrm>
          <a:off x="981075" y="1095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0</xdr:rowOff>
    </xdr:from>
    <xdr:to>
      <xdr:col>3</xdr:col>
      <xdr:colOff>114300</xdr:colOff>
      <xdr:row>8</xdr:row>
      <xdr:rowOff>142875</xdr:rowOff>
    </xdr:to>
    <xdr:sp>
      <xdr:nvSpPr>
        <xdr:cNvPr id="64" name="Line 64"/>
        <xdr:cNvSpPr>
          <a:spLocks/>
        </xdr:cNvSpPr>
      </xdr:nvSpPr>
      <xdr:spPr>
        <a:xfrm>
          <a:off x="1485900" y="12954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</xdr:row>
      <xdr:rowOff>0</xdr:rowOff>
    </xdr:from>
    <xdr:to>
      <xdr:col>4</xdr:col>
      <xdr:colOff>123825</xdr:colOff>
      <xdr:row>9</xdr:row>
      <xdr:rowOff>142875</xdr:rowOff>
    </xdr:to>
    <xdr:sp>
      <xdr:nvSpPr>
        <xdr:cNvPr id="65" name="Line 65"/>
        <xdr:cNvSpPr>
          <a:spLocks/>
        </xdr:cNvSpPr>
      </xdr:nvSpPr>
      <xdr:spPr>
        <a:xfrm>
          <a:off x="1981200" y="14573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9525</xdr:rowOff>
    </xdr:from>
    <xdr:to>
      <xdr:col>5</xdr:col>
      <xdr:colOff>95250</xdr:colOff>
      <xdr:row>10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2438400" y="16287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10</xdr:row>
      <xdr:rowOff>142875</xdr:rowOff>
    </xdr:from>
    <xdr:to>
      <xdr:col>6</xdr:col>
      <xdr:colOff>104775</xdr:colOff>
      <xdr:row>11</xdr:row>
      <xdr:rowOff>123825</xdr:rowOff>
    </xdr:to>
    <xdr:sp>
      <xdr:nvSpPr>
        <xdr:cNvPr id="67" name="Line 67"/>
        <xdr:cNvSpPr>
          <a:spLocks/>
        </xdr:cNvSpPr>
      </xdr:nvSpPr>
      <xdr:spPr>
        <a:xfrm>
          <a:off x="2933700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15</xdr:row>
      <xdr:rowOff>123825</xdr:rowOff>
    </xdr:from>
    <xdr:to>
      <xdr:col>11</xdr:col>
      <xdr:colOff>95250</xdr:colOff>
      <xdr:row>16</xdr:row>
      <xdr:rowOff>76200</xdr:rowOff>
    </xdr:to>
    <xdr:sp>
      <xdr:nvSpPr>
        <xdr:cNvPr id="68" name="Line 68"/>
        <xdr:cNvSpPr>
          <a:spLocks/>
        </xdr:cNvSpPr>
      </xdr:nvSpPr>
      <xdr:spPr>
        <a:xfrm flipH="1" flipV="1">
          <a:off x="5324475" y="25527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14</xdr:row>
      <xdr:rowOff>123825</xdr:rowOff>
    </xdr:from>
    <xdr:to>
      <xdr:col>10</xdr:col>
      <xdr:colOff>95250</xdr:colOff>
      <xdr:row>15</xdr:row>
      <xdr:rowOff>76200</xdr:rowOff>
    </xdr:to>
    <xdr:sp>
      <xdr:nvSpPr>
        <xdr:cNvPr id="69" name="Line 69"/>
        <xdr:cNvSpPr>
          <a:spLocks/>
        </xdr:cNvSpPr>
      </xdr:nvSpPr>
      <xdr:spPr>
        <a:xfrm flipH="1" flipV="1">
          <a:off x="4838700" y="23907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114300</xdr:rowOff>
    </xdr:from>
    <xdr:to>
      <xdr:col>9</xdr:col>
      <xdr:colOff>76200</xdr:colOff>
      <xdr:row>14</xdr:row>
      <xdr:rowOff>66675</xdr:rowOff>
    </xdr:to>
    <xdr:sp>
      <xdr:nvSpPr>
        <xdr:cNvPr id="70" name="Line 70"/>
        <xdr:cNvSpPr>
          <a:spLocks/>
        </xdr:cNvSpPr>
      </xdr:nvSpPr>
      <xdr:spPr>
        <a:xfrm flipH="1" flipV="1">
          <a:off x="4333875" y="22193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142875</xdr:rowOff>
    </xdr:from>
    <xdr:to>
      <xdr:col>8</xdr:col>
      <xdr:colOff>85725</xdr:colOff>
      <xdr:row>13</xdr:row>
      <xdr:rowOff>95250</xdr:rowOff>
    </xdr:to>
    <xdr:sp>
      <xdr:nvSpPr>
        <xdr:cNvPr id="71" name="Line 71"/>
        <xdr:cNvSpPr>
          <a:spLocks/>
        </xdr:cNvSpPr>
      </xdr:nvSpPr>
      <xdr:spPr>
        <a:xfrm flipH="1" flipV="1">
          <a:off x="3857625" y="20859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12</xdr:row>
      <xdr:rowOff>0</xdr:rowOff>
    </xdr:from>
    <xdr:to>
      <xdr:col>7</xdr:col>
      <xdr:colOff>123825</xdr:colOff>
      <xdr:row>12</xdr:row>
      <xdr:rowOff>114300</xdr:rowOff>
    </xdr:to>
    <xdr:sp>
      <xdr:nvSpPr>
        <xdr:cNvPr id="72" name="Line 72"/>
        <xdr:cNvSpPr>
          <a:spLocks/>
        </xdr:cNvSpPr>
      </xdr:nvSpPr>
      <xdr:spPr>
        <a:xfrm flipH="1" flipV="1">
          <a:off x="3409950" y="19431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</xdr:row>
      <xdr:rowOff>133350</xdr:rowOff>
    </xdr:from>
    <xdr:to>
      <xdr:col>11</xdr:col>
      <xdr:colOff>114300</xdr:colOff>
      <xdr:row>7</xdr:row>
      <xdr:rowOff>133350</xdr:rowOff>
    </xdr:to>
    <xdr:sp>
      <xdr:nvSpPr>
        <xdr:cNvPr id="73" name="Line 73"/>
        <xdr:cNvSpPr>
          <a:spLocks/>
        </xdr:cNvSpPr>
      </xdr:nvSpPr>
      <xdr:spPr>
        <a:xfrm flipH="1">
          <a:off x="5362575" y="11049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9525</xdr:rowOff>
    </xdr:from>
    <xdr:to>
      <xdr:col>10</xdr:col>
      <xdr:colOff>114300</xdr:colOff>
      <xdr:row>9</xdr:row>
      <xdr:rowOff>9525</xdr:rowOff>
    </xdr:to>
    <xdr:sp>
      <xdr:nvSpPr>
        <xdr:cNvPr id="74" name="Line 74"/>
        <xdr:cNvSpPr>
          <a:spLocks/>
        </xdr:cNvSpPr>
      </xdr:nvSpPr>
      <xdr:spPr>
        <a:xfrm flipH="1">
          <a:off x="4876800" y="13049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9</xdr:row>
      <xdr:rowOff>9525</xdr:rowOff>
    </xdr:from>
    <xdr:to>
      <xdr:col>9</xdr:col>
      <xdr:colOff>85725</xdr:colOff>
      <xdr:row>10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4362450" y="14668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10</xdr:row>
      <xdr:rowOff>0</xdr:rowOff>
    </xdr:from>
    <xdr:to>
      <xdr:col>8</xdr:col>
      <xdr:colOff>104775</xdr:colOff>
      <xdr:row>11</xdr:row>
      <xdr:rowOff>0</xdr:rowOff>
    </xdr:to>
    <xdr:sp>
      <xdr:nvSpPr>
        <xdr:cNvPr id="76" name="Line 76"/>
        <xdr:cNvSpPr>
          <a:spLocks/>
        </xdr:cNvSpPr>
      </xdr:nvSpPr>
      <xdr:spPr>
        <a:xfrm flipH="1">
          <a:off x="3895725" y="1619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142875</xdr:rowOff>
    </xdr:from>
    <xdr:to>
      <xdr:col>7</xdr:col>
      <xdr:colOff>114300</xdr:colOff>
      <xdr:row>11</xdr:row>
      <xdr:rowOff>142875</xdr:rowOff>
    </xdr:to>
    <xdr:sp>
      <xdr:nvSpPr>
        <xdr:cNvPr id="77" name="Line 77"/>
        <xdr:cNvSpPr>
          <a:spLocks/>
        </xdr:cNvSpPr>
      </xdr:nvSpPr>
      <xdr:spPr>
        <a:xfrm flipH="1">
          <a:off x="34194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8</xdr:row>
      <xdr:rowOff>123825</xdr:rowOff>
    </xdr:from>
    <xdr:to>
      <xdr:col>11</xdr:col>
      <xdr:colOff>114300</xdr:colOff>
      <xdr:row>9</xdr:row>
      <xdr:rowOff>123825</xdr:rowOff>
    </xdr:to>
    <xdr:sp>
      <xdr:nvSpPr>
        <xdr:cNvPr id="78" name="Line 78"/>
        <xdr:cNvSpPr>
          <a:spLocks/>
        </xdr:cNvSpPr>
      </xdr:nvSpPr>
      <xdr:spPr>
        <a:xfrm flipH="1">
          <a:off x="5362575" y="14192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9</xdr:row>
      <xdr:rowOff>142875</xdr:rowOff>
    </xdr:from>
    <xdr:to>
      <xdr:col>10</xdr:col>
      <xdr:colOff>95250</xdr:colOff>
      <xdr:row>10</xdr:row>
      <xdr:rowOff>142875</xdr:rowOff>
    </xdr:to>
    <xdr:sp>
      <xdr:nvSpPr>
        <xdr:cNvPr id="79" name="Line 79"/>
        <xdr:cNvSpPr>
          <a:spLocks/>
        </xdr:cNvSpPr>
      </xdr:nvSpPr>
      <xdr:spPr>
        <a:xfrm flipH="1">
          <a:off x="4857750" y="16002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</xdr:row>
      <xdr:rowOff>142875</xdr:rowOff>
    </xdr:from>
    <xdr:to>
      <xdr:col>9</xdr:col>
      <xdr:colOff>95250</xdr:colOff>
      <xdr:row>11</xdr:row>
      <xdr:rowOff>142875</xdr:rowOff>
    </xdr:to>
    <xdr:sp>
      <xdr:nvSpPr>
        <xdr:cNvPr id="80" name="Line 80"/>
        <xdr:cNvSpPr>
          <a:spLocks/>
        </xdr:cNvSpPr>
      </xdr:nvSpPr>
      <xdr:spPr>
        <a:xfrm flipH="1">
          <a:off x="43719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11</xdr:row>
      <xdr:rowOff>114300</xdr:rowOff>
    </xdr:from>
    <xdr:to>
      <xdr:col>8</xdr:col>
      <xdr:colOff>76200</xdr:colOff>
      <xdr:row>12</xdr:row>
      <xdr:rowOff>114300</xdr:rowOff>
    </xdr:to>
    <xdr:sp>
      <xdr:nvSpPr>
        <xdr:cNvPr id="81" name="Line 81"/>
        <xdr:cNvSpPr>
          <a:spLocks/>
        </xdr:cNvSpPr>
      </xdr:nvSpPr>
      <xdr:spPr>
        <a:xfrm flipH="1">
          <a:off x="3867150" y="189547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10</xdr:row>
      <xdr:rowOff>133350</xdr:rowOff>
    </xdr:from>
    <xdr:to>
      <xdr:col>11</xdr:col>
      <xdr:colOff>85725</xdr:colOff>
      <xdr:row>11</xdr:row>
      <xdr:rowOff>133350</xdr:rowOff>
    </xdr:to>
    <xdr:sp>
      <xdr:nvSpPr>
        <xdr:cNvPr id="82" name="Line 82"/>
        <xdr:cNvSpPr>
          <a:spLocks/>
        </xdr:cNvSpPr>
      </xdr:nvSpPr>
      <xdr:spPr>
        <a:xfrm flipH="1">
          <a:off x="5334000" y="17526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133350</xdr:rowOff>
    </xdr:from>
    <xdr:to>
      <xdr:col>10</xdr:col>
      <xdr:colOff>85725</xdr:colOff>
      <xdr:row>12</xdr:row>
      <xdr:rowOff>133350</xdr:rowOff>
    </xdr:to>
    <xdr:sp>
      <xdr:nvSpPr>
        <xdr:cNvPr id="83" name="Line 83"/>
        <xdr:cNvSpPr>
          <a:spLocks/>
        </xdr:cNvSpPr>
      </xdr:nvSpPr>
      <xdr:spPr>
        <a:xfrm flipH="1">
          <a:off x="4848225" y="19145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114300</xdr:rowOff>
    </xdr:from>
    <xdr:to>
      <xdr:col>9</xdr:col>
      <xdr:colOff>85725</xdr:colOff>
      <xdr:row>13</xdr:row>
      <xdr:rowOff>114300</xdr:rowOff>
    </xdr:to>
    <xdr:sp>
      <xdr:nvSpPr>
        <xdr:cNvPr id="84" name="#86"/>
        <xdr:cNvSpPr>
          <a:spLocks/>
        </xdr:cNvSpPr>
      </xdr:nvSpPr>
      <xdr:spPr>
        <a:xfrm flipH="1">
          <a:off x="4362450" y="20574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12</xdr:row>
      <xdr:rowOff>76200</xdr:rowOff>
    </xdr:from>
    <xdr:to>
      <xdr:col>11</xdr:col>
      <xdr:colOff>133350</xdr:colOff>
      <xdr:row>13</xdr:row>
      <xdr:rowOff>76200</xdr:rowOff>
    </xdr:to>
    <xdr:sp>
      <xdr:nvSpPr>
        <xdr:cNvPr id="85" name="Line 85"/>
        <xdr:cNvSpPr>
          <a:spLocks/>
        </xdr:cNvSpPr>
      </xdr:nvSpPr>
      <xdr:spPr>
        <a:xfrm flipH="1">
          <a:off x="5381625" y="20193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13</xdr:row>
      <xdr:rowOff>104775</xdr:rowOff>
    </xdr:from>
    <xdr:to>
      <xdr:col>10</xdr:col>
      <xdr:colOff>76200</xdr:colOff>
      <xdr:row>14</xdr:row>
      <xdr:rowOff>104775</xdr:rowOff>
    </xdr:to>
    <xdr:sp>
      <xdr:nvSpPr>
        <xdr:cNvPr id="86" name="Line 86"/>
        <xdr:cNvSpPr>
          <a:spLocks/>
        </xdr:cNvSpPr>
      </xdr:nvSpPr>
      <xdr:spPr>
        <a:xfrm flipH="1">
          <a:off x="4838700" y="22098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14</xdr:row>
      <xdr:rowOff>114300</xdr:rowOff>
    </xdr:from>
    <xdr:to>
      <xdr:col>11</xdr:col>
      <xdr:colOff>85725</xdr:colOff>
      <xdr:row>15</xdr:row>
      <xdr:rowOff>114300</xdr:rowOff>
    </xdr:to>
    <xdr:sp>
      <xdr:nvSpPr>
        <xdr:cNvPr id="87" name="Line 87"/>
        <xdr:cNvSpPr>
          <a:spLocks/>
        </xdr:cNvSpPr>
      </xdr:nvSpPr>
      <xdr:spPr>
        <a:xfrm flipH="1">
          <a:off x="5334000" y="2381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66675</xdr:rowOff>
    </xdr:from>
    <xdr:to>
      <xdr:col>3</xdr:col>
      <xdr:colOff>342900</xdr:colOff>
      <xdr:row>16</xdr:row>
      <xdr:rowOff>85725</xdr:rowOff>
    </xdr:to>
    <xdr:sp>
      <xdr:nvSpPr>
        <xdr:cNvPr id="88" name="Line 88"/>
        <xdr:cNvSpPr>
          <a:spLocks/>
        </xdr:cNvSpPr>
      </xdr:nvSpPr>
      <xdr:spPr>
        <a:xfrm flipV="1">
          <a:off x="1924050" y="2495550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14</xdr:row>
      <xdr:rowOff>47625</xdr:rowOff>
    </xdr:from>
    <xdr:to>
      <xdr:col>4</xdr:col>
      <xdr:colOff>333375</xdr:colOff>
      <xdr:row>15</xdr:row>
      <xdr:rowOff>66675</xdr:rowOff>
    </xdr:to>
    <xdr:sp>
      <xdr:nvSpPr>
        <xdr:cNvPr id="89" name="Line 89"/>
        <xdr:cNvSpPr>
          <a:spLocks/>
        </xdr:cNvSpPr>
      </xdr:nvSpPr>
      <xdr:spPr>
        <a:xfrm flipV="1">
          <a:off x="2400300" y="2314575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</xdr:row>
      <xdr:rowOff>47625</xdr:rowOff>
    </xdr:from>
    <xdr:to>
      <xdr:col>5</xdr:col>
      <xdr:colOff>333375</xdr:colOff>
      <xdr:row>14</xdr:row>
      <xdr:rowOff>66675</xdr:rowOff>
    </xdr:to>
    <xdr:sp>
      <xdr:nvSpPr>
        <xdr:cNvPr id="90" name="Line 90"/>
        <xdr:cNvSpPr>
          <a:spLocks/>
        </xdr:cNvSpPr>
      </xdr:nvSpPr>
      <xdr:spPr>
        <a:xfrm flipV="1">
          <a:off x="2886075" y="2152650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</xdr:row>
      <xdr:rowOff>85725</xdr:rowOff>
    </xdr:from>
    <xdr:to>
      <xdr:col>6</xdr:col>
      <xdr:colOff>352425</xdr:colOff>
      <xdr:row>3</xdr:row>
      <xdr:rowOff>123825</xdr:rowOff>
    </xdr:to>
    <xdr:sp>
      <xdr:nvSpPr>
        <xdr:cNvPr id="91" name="Line 91"/>
        <xdr:cNvSpPr>
          <a:spLocks/>
        </xdr:cNvSpPr>
      </xdr:nvSpPr>
      <xdr:spPr>
        <a:xfrm>
          <a:off x="3381375" y="4095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361950</xdr:colOff>
      <xdr:row>5</xdr:row>
      <xdr:rowOff>123825</xdr:rowOff>
    </xdr:to>
    <xdr:sp>
      <xdr:nvSpPr>
        <xdr:cNvPr id="92" name="Line 92"/>
        <xdr:cNvSpPr>
          <a:spLocks/>
        </xdr:cNvSpPr>
      </xdr:nvSpPr>
      <xdr:spPr>
        <a:xfrm>
          <a:off x="339090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85725</xdr:rowOff>
    </xdr:from>
    <xdr:to>
      <xdr:col>6</xdr:col>
      <xdr:colOff>371475</xdr:colOff>
      <xdr:row>7</xdr:row>
      <xdr:rowOff>123825</xdr:rowOff>
    </xdr:to>
    <xdr:sp>
      <xdr:nvSpPr>
        <xdr:cNvPr id="93" name="Line 93"/>
        <xdr:cNvSpPr>
          <a:spLocks/>
        </xdr:cNvSpPr>
      </xdr:nvSpPr>
      <xdr:spPr>
        <a:xfrm>
          <a:off x="340042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8</xdr:row>
      <xdr:rowOff>85725</xdr:rowOff>
    </xdr:from>
    <xdr:to>
      <xdr:col>6</xdr:col>
      <xdr:colOff>371475</xdr:colOff>
      <xdr:row>9</xdr:row>
      <xdr:rowOff>123825</xdr:rowOff>
    </xdr:to>
    <xdr:sp>
      <xdr:nvSpPr>
        <xdr:cNvPr id="94" name="Line 94"/>
        <xdr:cNvSpPr>
          <a:spLocks/>
        </xdr:cNvSpPr>
      </xdr:nvSpPr>
      <xdr:spPr>
        <a:xfrm>
          <a:off x="3400425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</xdr:row>
      <xdr:rowOff>85725</xdr:rowOff>
    </xdr:from>
    <xdr:to>
      <xdr:col>6</xdr:col>
      <xdr:colOff>381000</xdr:colOff>
      <xdr:row>11</xdr:row>
      <xdr:rowOff>123825</xdr:rowOff>
    </xdr:to>
    <xdr:sp>
      <xdr:nvSpPr>
        <xdr:cNvPr id="95" name="Line 95"/>
        <xdr:cNvSpPr>
          <a:spLocks/>
        </xdr:cNvSpPr>
      </xdr:nvSpPr>
      <xdr:spPr>
        <a:xfrm>
          <a:off x="3409950" y="1704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76200</xdr:rowOff>
    </xdr:from>
    <xdr:to>
      <xdr:col>7</xdr:col>
      <xdr:colOff>381000</xdr:colOff>
      <xdr:row>4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3895725" y="561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76200</xdr:rowOff>
    </xdr:from>
    <xdr:to>
      <xdr:col>7</xdr:col>
      <xdr:colOff>381000</xdr:colOff>
      <xdr:row>6</xdr:row>
      <xdr:rowOff>114300</xdr:rowOff>
    </xdr:to>
    <xdr:sp>
      <xdr:nvSpPr>
        <xdr:cNvPr id="97" name="Line 97"/>
        <xdr:cNvSpPr>
          <a:spLocks/>
        </xdr:cNvSpPr>
      </xdr:nvSpPr>
      <xdr:spPr>
        <a:xfrm>
          <a:off x="389572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7</xdr:row>
      <xdr:rowOff>76200</xdr:rowOff>
    </xdr:from>
    <xdr:to>
      <xdr:col>7</xdr:col>
      <xdr:colOff>381000</xdr:colOff>
      <xdr:row>8</xdr:row>
      <xdr:rowOff>114300</xdr:rowOff>
    </xdr:to>
    <xdr:sp>
      <xdr:nvSpPr>
        <xdr:cNvPr id="98" name="Line 98"/>
        <xdr:cNvSpPr>
          <a:spLocks/>
        </xdr:cNvSpPr>
      </xdr:nvSpPr>
      <xdr:spPr>
        <a:xfrm>
          <a:off x="38957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9</xdr:row>
      <xdr:rowOff>76200</xdr:rowOff>
    </xdr:from>
    <xdr:to>
      <xdr:col>7</xdr:col>
      <xdr:colOff>371475</xdr:colOff>
      <xdr:row>10</xdr:row>
      <xdr:rowOff>114300</xdr:rowOff>
    </xdr:to>
    <xdr:sp>
      <xdr:nvSpPr>
        <xdr:cNvPr id="99" name="Line 99"/>
        <xdr:cNvSpPr>
          <a:spLocks/>
        </xdr:cNvSpPr>
      </xdr:nvSpPr>
      <xdr:spPr>
        <a:xfrm>
          <a:off x="3886200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361950</xdr:colOff>
      <xdr:row>5</xdr:row>
      <xdr:rowOff>123825</xdr:rowOff>
    </xdr:to>
    <xdr:sp>
      <xdr:nvSpPr>
        <xdr:cNvPr id="100" name="Line 100"/>
        <xdr:cNvSpPr>
          <a:spLocks/>
        </xdr:cNvSpPr>
      </xdr:nvSpPr>
      <xdr:spPr>
        <a:xfrm>
          <a:off x="436245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76200</xdr:rowOff>
    </xdr:from>
    <xdr:to>
      <xdr:col>8</xdr:col>
      <xdr:colOff>371475</xdr:colOff>
      <xdr:row>7</xdr:row>
      <xdr:rowOff>114300</xdr:rowOff>
    </xdr:to>
    <xdr:sp>
      <xdr:nvSpPr>
        <xdr:cNvPr id="101" name="Line 101"/>
        <xdr:cNvSpPr>
          <a:spLocks/>
        </xdr:cNvSpPr>
      </xdr:nvSpPr>
      <xdr:spPr>
        <a:xfrm>
          <a:off x="4371975" y="104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76200</xdr:rowOff>
    </xdr:from>
    <xdr:to>
      <xdr:col>8</xdr:col>
      <xdr:colOff>371475</xdr:colOff>
      <xdr:row>9</xdr:row>
      <xdr:rowOff>114300</xdr:rowOff>
    </xdr:to>
    <xdr:sp>
      <xdr:nvSpPr>
        <xdr:cNvPr id="102" name="Line 102"/>
        <xdr:cNvSpPr>
          <a:spLocks/>
        </xdr:cNvSpPr>
      </xdr:nvSpPr>
      <xdr:spPr>
        <a:xfrm>
          <a:off x="4371975" y="13716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85725</xdr:rowOff>
    </xdr:from>
    <xdr:to>
      <xdr:col>9</xdr:col>
      <xdr:colOff>361950</xdr:colOff>
      <xdr:row>6</xdr:row>
      <xdr:rowOff>123825</xdr:rowOff>
    </xdr:to>
    <xdr:sp>
      <xdr:nvSpPr>
        <xdr:cNvPr id="103" name="Line 103"/>
        <xdr:cNvSpPr>
          <a:spLocks/>
        </xdr:cNvSpPr>
      </xdr:nvSpPr>
      <xdr:spPr>
        <a:xfrm>
          <a:off x="4848225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76200</xdr:rowOff>
    </xdr:from>
    <xdr:to>
      <xdr:col>9</xdr:col>
      <xdr:colOff>361950</xdr:colOff>
      <xdr:row>8</xdr:row>
      <xdr:rowOff>114300</xdr:rowOff>
    </xdr:to>
    <xdr:sp>
      <xdr:nvSpPr>
        <xdr:cNvPr id="104" name="Line 104"/>
        <xdr:cNvSpPr>
          <a:spLocks/>
        </xdr:cNvSpPr>
      </xdr:nvSpPr>
      <xdr:spPr>
        <a:xfrm>
          <a:off x="48482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6</xdr:row>
      <xdr:rowOff>85725</xdr:rowOff>
    </xdr:from>
    <xdr:to>
      <xdr:col>10</xdr:col>
      <xdr:colOff>352425</xdr:colOff>
      <xdr:row>7</xdr:row>
      <xdr:rowOff>123825</xdr:rowOff>
    </xdr:to>
    <xdr:sp>
      <xdr:nvSpPr>
        <xdr:cNvPr id="105" name="Line 105"/>
        <xdr:cNvSpPr>
          <a:spLocks/>
        </xdr:cNvSpPr>
      </xdr:nvSpPr>
      <xdr:spPr>
        <a:xfrm>
          <a:off x="532447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</xdr:row>
      <xdr:rowOff>85725</xdr:rowOff>
    </xdr:from>
    <xdr:to>
      <xdr:col>5</xdr:col>
      <xdr:colOff>371475</xdr:colOff>
      <xdr:row>4</xdr:row>
      <xdr:rowOff>123825</xdr:rowOff>
    </xdr:to>
    <xdr:sp>
      <xdr:nvSpPr>
        <xdr:cNvPr id="106" name="Line 106"/>
        <xdr:cNvSpPr>
          <a:spLocks/>
        </xdr:cNvSpPr>
      </xdr:nvSpPr>
      <xdr:spPr>
        <a:xfrm>
          <a:off x="2914650" y="5715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76200</xdr:rowOff>
    </xdr:from>
    <xdr:to>
      <xdr:col>5</xdr:col>
      <xdr:colOff>381000</xdr:colOff>
      <xdr:row>6</xdr:row>
      <xdr:rowOff>114300</xdr:rowOff>
    </xdr:to>
    <xdr:sp>
      <xdr:nvSpPr>
        <xdr:cNvPr id="107" name="Line 107"/>
        <xdr:cNvSpPr>
          <a:spLocks/>
        </xdr:cNvSpPr>
      </xdr:nvSpPr>
      <xdr:spPr>
        <a:xfrm>
          <a:off x="292417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95250</xdr:rowOff>
    </xdr:from>
    <xdr:to>
      <xdr:col>5</xdr:col>
      <xdr:colOff>381000</xdr:colOff>
      <xdr:row>8</xdr:row>
      <xdr:rowOff>133350</xdr:rowOff>
    </xdr:to>
    <xdr:sp>
      <xdr:nvSpPr>
        <xdr:cNvPr id="108" name="Line 108"/>
        <xdr:cNvSpPr>
          <a:spLocks/>
        </xdr:cNvSpPr>
      </xdr:nvSpPr>
      <xdr:spPr>
        <a:xfrm>
          <a:off x="2924175" y="12287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381000</xdr:colOff>
      <xdr:row>10</xdr:row>
      <xdr:rowOff>114300</xdr:rowOff>
    </xdr:to>
    <xdr:sp>
      <xdr:nvSpPr>
        <xdr:cNvPr id="109" name="Line 109"/>
        <xdr:cNvSpPr>
          <a:spLocks/>
        </xdr:cNvSpPr>
      </xdr:nvSpPr>
      <xdr:spPr>
        <a:xfrm>
          <a:off x="2924175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</xdr:row>
      <xdr:rowOff>95250</xdr:rowOff>
    </xdr:from>
    <xdr:to>
      <xdr:col>4</xdr:col>
      <xdr:colOff>361950</xdr:colOff>
      <xdr:row>5</xdr:row>
      <xdr:rowOff>133350</xdr:rowOff>
    </xdr:to>
    <xdr:sp>
      <xdr:nvSpPr>
        <xdr:cNvPr id="110" name="Line 110"/>
        <xdr:cNvSpPr>
          <a:spLocks/>
        </xdr:cNvSpPr>
      </xdr:nvSpPr>
      <xdr:spPr>
        <a:xfrm>
          <a:off x="2419350" y="7429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6</xdr:row>
      <xdr:rowOff>66675</xdr:rowOff>
    </xdr:from>
    <xdr:to>
      <xdr:col>4</xdr:col>
      <xdr:colOff>371475</xdr:colOff>
      <xdr:row>7</xdr:row>
      <xdr:rowOff>104775</xdr:rowOff>
    </xdr:to>
    <xdr:sp>
      <xdr:nvSpPr>
        <xdr:cNvPr id="111" name="Line 111"/>
        <xdr:cNvSpPr>
          <a:spLocks/>
        </xdr:cNvSpPr>
      </xdr:nvSpPr>
      <xdr:spPr>
        <a:xfrm>
          <a:off x="2428875" y="10382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85725</xdr:rowOff>
    </xdr:from>
    <xdr:to>
      <xdr:col>4</xdr:col>
      <xdr:colOff>361950</xdr:colOff>
      <xdr:row>9</xdr:row>
      <xdr:rowOff>123825</xdr:rowOff>
    </xdr:to>
    <xdr:sp>
      <xdr:nvSpPr>
        <xdr:cNvPr id="112" name="Line 112"/>
        <xdr:cNvSpPr>
          <a:spLocks/>
        </xdr:cNvSpPr>
      </xdr:nvSpPr>
      <xdr:spPr>
        <a:xfrm>
          <a:off x="2419350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</xdr:row>
      <xdr:rowOff>85725</xdr:rowOff>
    </xdr:from>
    <xdr:to>
      <xdr:col>3</xdr:col>
      <xdr:colOff>390525</xdr:colOff>
      <xdr:row>6</xdr:row>
      <xdr:rowOff>123825</xdr:rowOff>
    </xdr:to>
    <xdr:sp>
      <xdr:nvSpPr>
        <xdr:cNvPr id="113" name="Line 113"/>
        <xdr:cNvSpPr>
          <a:spLocks/>
        </xdr:cNvSpPr>
      </xdr:nvSpPr>
      <xdr:spPr>
        <a:xfrm>
          <a:off x="1962150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</xdr:row>
      <xdr:rowOff>66675</xdr:rowOff>
    </xdr:from>
    <xdr:to>
      <xdr:col>3</xdr:col>
      <xdr:colOff>390525</xdr:colOff>
      <xdr:row>8</xdr:row>
      <xdr:rowOff>104775</xdr:rowOff>
    </xdr:to>
    <xdr:sp>
      <xdr:nvSpPr>
        <xdr:cNvPr id="114" name="Line 114"/>
        <xdr:cNvSpPr>
          <a:spLocks/>
        </xdr:cNvSpPr>
      </xdr:nvSpPr>
      <xdr:spPr>
        <a:xfrm>
          <a:off x="1962150" y="12001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6</xdr:row>
      <xdr:rowOff>85725</xdr:rowOff>
    </xdr:from>
    <xdr:to>
      <xdr:col>2</xdr:col>
      <xdr:colOff>381000</xdr:colOff>
      <xdr:row>7</xdr:row>
      <xdr:rowOff>123825</xdr:rowOff>
    </xdr:to>
    <xdr:sp>
      <xdr:nvSpPr>
        <xdr:cNvPr id="115" name="Line 115"/>
        <xdr:cNvSpPr>
          <a:spLocks/>
        </xdr:cNvSpPr>
      </xdr:nvSpPr>
      <xdr:spPr>
        <a:xfrm>
          <a:off x="1466850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57150</xdr:rowOff>
    </xdr:from>
    <xdr:to>
      <xdr:col>6</xdr:col>
      <xdr:colOff>342900</xdr:colOff>
      <xdr:row>21</xdr:row>
      <xdr:rowOff>76200</xdr:rowOff>
    </xdr:to>
    <xdr:sp>
      <xdr:nvSpPr>
        <xdr:cNvPr id="116" name="Line 116"/>
        <xdr:cNvSpPr>
          <a:spLocks/>
        </xdr:cNvSpPr>
      </xdr:nvSpPr>
      <xdr:spPr>
        <a:xfrm flipV="1">
          <a:off x="3381375" y="3295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57150</xdr:rowOff>
    </xdr:from>
    <xdr:to>
      <xdr:col>6</xdr:col>
      <xdr:colOff>352425</xdr:colOff>
      <xdr:row>19</xdr:row>
      <xdr:rowOff>76200</xdr:rowOff>
    </xdr:to>
    <xdr:sp>
      <xdr:nvSpPr>
        <xdr:cNvPr id="117" name="Line 117"/>
        <xdr:cNvSpPr>
          <a:spLocks/>
        </xdr:cNvSpPr>
      </xdr:nvSpPr>
      <xdr:spPr>
        <a:xfrm flipV="1">
          <a:off x="33909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16</xdr:row>
      <xdr:rowOff>57150</xdr:rowOff>
    </xdr:from>
    <xdr:to>
      <xdr:col>6</xdr:col>
      <xdr:colOff>352425</xdr:colOff>
      <xdr:row>17</xdr:row>
      <xdr:rowOff>76200</xdr:rowOff>
    </xdr:to>
    <xdr:sp>
      <xdr:nvSpPr>
        <xdr:cNvPr id="118" name="Line 118"/>
        <xdr:cNvSpPr>
          <a:spLocks/>
        </xdr:cNvSpPr>
      </xdr:nvSpPr>
      <xdr:spPr>
        <a:xfrm flipV="1">
          <a:off x="33909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14</xdr:row>
      <xdr:rowOff>47625</xdr:rowOff>
    </xdr:from>
    <xdr:to>
      <xdr:col>6</xdr:col>
      <xdr:colOff>361950</xdr:colOff>
      <xdr:row>15</xdr:row>
      <xdr:rowOff>66675</xdr:rowOff>
    </xdr:to>
    <xdr:sp>
      <xdr:nvSpPr>
        <xdr:cNvPr id="119" name="Line 119"/>
        <xdr:cNvSpPr>
          <a:spLocks/>
        </xdr:cNvSpPr>
      </xdr:nvSpPr>
      <xdr:spPr>
        <a:xfrm flipV="1">
          <a:off x="3400425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66675</xdr:rowOff>
    </xdr:from>
    <xdr:to>
      <xdr:col>6</xdr:col>
      <xdr:colOff>381000</xdr:colOff>
      <xdr:row>13</xdr:row>
      <xdr:rowOff>85725</xdr:rowOff>
    </xdr:to>
    <xdr:sp>
      <xdr:nvSpPr>
        <xdr:cNvPr id="120" name="Line 120"/>
        <xdr:cNvSpPr>
          <a:spLocks/>
        </xdr:cNvSpPr>
      </xdr:nvSpPr>
      <xdr:spPr>
        <a:xfrm flipV="1">
          <a:off x="3419475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19</xdr:row>
      <xdr:rowOff>66675</xdr:rowOff>
    </xdr:from>
    <xdr:to>
      <xdr:col>7</xdr:col>
      <xdr:colOff>342900</xdr:colOff>
      <xdr:row>20</xdr:row>
      <xdr:rowOff>85725</xdr:rowOff>
    </xdr:to>
    <xdr:sp>
      <xdr:nvSpPr>
        <xdr:cNvPr id="121" name="Line 121"/>
        <xdr:cNvSpPr>
          <a:spLocks/>
        </xdr:cNvSpPr>
      </xdr:nvSpPr>
      <xdr:spPr>
        <a:xfrm flipV="1">
          <a:off x="386715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17</xdr:row>
      <xdr:rowOff>66675</xdr:rowOff>
    </xdr:from>
    <xdr:to>
      <xdr:col>7</xdr:col>
      <xdr:colOff>361950</xdr:colOff>
      <xdr:row>18</xdr:row>
      <xdr:rowOff>85725</xdr:rowOff>
    </xdr:to>
    <xdr:sp>
      <xdr:nvSpPr>
        <xdr:cNvPr id="122" name="Line 122"/>
        <xdr:cNvSpPr>
          <a:spLocks/>
        </xdr:cNvSpPr>
      </xdr:nvSpPr>
      <xdr:spPr>
        <a:xfrm flipV="1">
          <a:off x="38862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57150</xdr:rowOff>
    </xdr:from>
    <xdr:to>
      <xdr:col>7</xdr:col>
      <xdr:colOff>371475</xdr:colOff>
      <xdr:row>16</xdr:row>
      <xdr:rowOff>76200</xdr:rowOff>
    </xdr:to>
    <xdr:sp>
      <xdr:nvSpPr>
        <xdr:cNvPr id="123" name="Line 123"/>
        <xdr:cNvSpPr>
          <a:spLocks/>
        </xdr:cNvSpPr>
      </xdr:nvSpPr>
      <xdr:spPr>
        <a:xfrm flipV="1">
          <a:off x="3895725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13</xdr:row>
      <xdr:rowOff>57150</xdr:rowOff>
    </xdr:from>
    <xdr:to>
      <xdr:col>7</xdr:col>
      <xdr:colOff>381000</xdr:colOff>
      <xdr:row>14</xdr:row>
      <xdr:rowOff>76200</xdr:rowOff>
    </xdr:to>
    <xdr:sp>
      <xdr:nvSpPr>
        <xdr:cNvPr id="124" name="Line 124"/>
        <xdr:cNvSpPr>
          <a:spLocks/>
        </xdr:cNvSpPr>
      </xdr:nvSpPr>
      <xdr:spPr>
        <a:xfrm flipV="1">
          <a:off x="3905250" y="2162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</xdr:row>
      <xdr:rowOff>57150</xdr:rowOff>
    </xdr:from>
    <xdr:to>
      <xdr:col>8</xdr:col>
      <xdr:colOff>361950</xdr:colOff>
      <xdr:row>19</xdr:row>
      <xdr:rowOff>76200</xdr:rowOff>
    </xdr:to>
    <xdr:sp>
      <xdr:nvSpPr>
        <xdr:cNvPr id="125" name="Line 125"/>
        <xdr:cNvSpPr>
          <a:spLocks/>
        </xdr:cNvSpPr>
      </xdr:nvSpPr>
      <xdr:spPr>
        <a:xfrm flipV="1">
          <a:off x="4371975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47625</xdr:rowOff>
    </xdr:from>
    <xdr:to>
      <xdr:col>8</xdr:col>
      <xdr:colOff>371475</xdr:colOff>
      <xdr:row>17</xdr:row>
      <xdr:rowOff>66675</xdr:rowOff>
    </xdr:to>
    <xdr:sp>
      <xdr:nvSpPr>
        <xdr:cNvPr id="126" name="Line 126"/>
        <xdr:cNvSpPr>
          <a:spLocks/>
        </xdr:cNvSpPr>
      </xdr:nvSpPr>
      <xdr:spPr>
        <a:xfrm flipV="1">
          <a:off x="4381500" y="2638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14</xdr:row>
      <xdr:rowOff>47625</xdr:rowOff>
    </xdr:from>
    <xdr:to>
      <xdr:col>8</xdr:col>
      <xdr:colOff>390525</xdr:colOff>
      <xdr:row>15</xdr:row>
      <xdr:rowOff>66675</xdr:rowOff>
    </xdr:to>
    <xdr:sp>
      <xdr:nvSpPr>
        <xdr:cNvPr id="127" name="Line 127"/>
        <xdr:cNvSpPr>
          <a:spLocks/>
        </xdr:cNvSpPr>
      </xdr:nvSpPr>
      <xdr:spPr>
        <a:xfrm flipV="1">
          <a:off x="4400550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17</xdr:row>
      <xdr:rowOff>76200</xdr:rowOff>
    </xdr:from>
    <xdr:to>
      <xdr:col>9</xdr:col>
      <xdr:colOff>352425</xdr:colOff>
      <xdr:row>18</xdr:row>
      <xdr:rowOff>95250</xdr:rowOff>
    </xdr:to>
    <xdr:sp>
      <xdr:nvSpPr>
        <xdr:cNvPr id="128" name="Line 128"/>
        <xdr:cNvSpPr>
          <a:spLocks/>
        </xdr:cNvSpPr>
      </xdr:nvSpPr>
      <xdr:spPr>
        <a:xfrm flipV="1">
          <a:off x="4848225" y="2828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15</xdr:row>
      <xdr:rowOff>57150</xdr:rowOff>
    </xdr:from>
    <xdr:to>
      <xdr:col>9</xdr:col>
      <xdr:colOff>361950</xdr:colOff>
      <xdr:row>16</xdr:row>
      <xdr:rowOff>76200</xdr:rowOff>
    </xdr:to>
    <xdr:sp>
      <xdr:nvSpPr>
        <xdr:cNvPr id="129" name="Line 129"/>
        <xdr:cNvSpPr>
          <a:spLocks/>
        </xdr:cNvSpPr>
      </xdr:nvSpPr>
      <xdr:spPr>
        <a:xfrm flipV="1">
          <a:off x="48577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16</xdr:row>
      <xdr:rowOff>57150</xdr:rowOff>
    </xdr:from>
    <xdr:to>
      <xdr:col>10</xdr:col>
      <xdr:colOff>352425</xdr:colOff>
      <xdr:row>17</xdr:row>
      <xdr:rowOff>76200</xdr:rowOff>
    </xdr:to>
    <xdr:sp>
      <xdr:nvSpPr>
        <xdr:cNvPr id="130" name="Line 130"/>
        <xdr:cNvSpPr>
          <a:spLocks/>
        </xdr:cNvSpPr>
      </xdr:nvSpPr>
      <xdr:spPr>
        <a:xfrm flipV="1">
          <a:off x="53340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19</xdr:row>
      <xdr:rowOff>57150</xdr:rowOff>
    </xdr:from>
    <xdr:to>
      <xdr:col>5</xdr:col>
      <xdr:colOff>352425</xdr:colOff>
      <xdr:row>20</xdr:row>
      <xdr:rowOff>76200</xdr:rowOff>
    </xdr:to>
    <xdr:sp>
      <xdr:nvSpPr>
        <xdr:cNvPr id="131" name="Line 131"/>
        <xdr:cNvSpPr>
          <a:spLocks/>
        </xdr:cNvSpPr>
      </xdr:nvSpPr>
      <xdr:spPr>
        <a:xfrm flipV="1">
          <a:off x="2905125" y="3133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47625</xdr:rowOff>
    </xdr:from>
    <xdr:to>
      <xdr:col>5</xdr:col>
      <xdr:colOff>352425</xdr:colOff>
      <xdr:row>18</xdr:row>
      <xdr:rowOff>66675</xdr:rowOff>
    </xdr:to>
    <xdr:sp>
      <xdr:nvSpPr>
        <xdr:cNvPr id="132" name="Line 132"/>
        <xdr:cNvSpPr>
          <a:spLocks/>
        </xdr:cNvSpPr>
      </xdr:nvSpPr>
      <xdr:spPr>
        <a:xfrm flipV="1">
          <a:off x="2905125" y="280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57150</xdr:rowOff>
    </xdr:from>
    <xdr:to>
      <xdr:col>5</xdr:col>
      <xdr:colOff>361950</xdr:colOff>
      <xdr:row>16</xdr:row>
      <xdr:rowOff>76200</xdr:rowOff>
    </xdr:to>
    <xdr:sp>
      <xdr:nvSpPr>
        <xdr:cNvPr id="133" name="Line 133"/>
        <xdr:cNvSpPr>
          <a:spLocks/>
        </xdr:cNvSpPr>
      </xdr:nvSpPr>
      <xdr:spPr>
        <a:xfrm flipV="1">
          <a:off x="29146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57150</xdr:rowOff>
    </xdr:from>
    <xdr:to>
      <xdr:col>4</xdr:col>
      <xdr:colOff>333375</xdr:colOff>
      <xdr:row>19</xdr:row>
      <xdr:rowOff>76200</xdr:rowOff>
    </xdr:to>
    <xdr:sp>
      <xdr:nvSpPr>
        <xdr:cNvPr id="134" name="Line 134"/>
        <xdr:cNvSpPr>
          <a:spLocks/>
        </xdr:cNvSpPr>
      </xdr:nvSpPr>
      <xdr:spPr>
        <a:xfrm flipV="1">
          <a:off x="24003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16</xdr:row>
      <xdr:rowOff>57150</xdr:rowOff>
    </xdr:from>
    <xdr:to>
      <xdr:col>4</xdr:col>
      <xdr:colOff>342900</xdr:colOff>
      <xdr:row>17</xdr:row>
      <xdr:rowOff>76200</xdr:rowOff>
    </xdr:to>
    <xdr:sp>
      <xdr:nvSpPr>
        <xdr:cNvPr id="135" name="Line 135"/>
        <xdr:cNvSpPr>
          <a:spLocks/>
        </xdr:cNvSpPr>
      </xdr:nvSpPr>
      <xdr:spPr>
        <a:xfrm flipV="1">
          <a:off x="2409825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66675</xdr:rowOff>
    </xdr:from>
    <xdr:to>
      <xdr:col>3</xdr:col>
      <xdr:colOff>323850</xdr:colOff>
      <xdr:row>18</xdr:row>
      <xdr:rowOff>85725</xdr:rowOff>
    </xdr:to>
    <xdr:sp>
      <xdr:nvSpPr>
        <xdr:cNvPr id="136" name="Line 136"/>
        <xdr:cNvSpPr>
          <a:spLocks/>
        </xdr:cNvSpPr>
      </xdr:nvSpPr>
      <xdr:spPr>
        <a:xfrm flipV="1">
          <a:off x="19050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16</xdr:row>
      <xdr:rowOff>57150</xdr:rowOff>
    </xdr:from>
    <xdr:to>
      <xdr:col>2</xdr:col>
      <xdr:colOff>352425</xdr:colOff>
      <xdr:row>17</xdr:row>
      <xdr:rowOff>76200</xdr:rowOff>
    </xdr:to>
    <xdr:sp>
      <xdr:nvSpPr>
        <xdr:cNvPr id="137" name="Line 137"/>
        <xdr:cNvSpPr>
          <a:spLocks/>
        </xdr:cNvSpPr>
      </xdr:nvSpPr>
      <xdr:spPr>
        <a:xfrm flipV="1">
          <a:off x="14478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2</xdr:col>
      <xdr:colOff>133350</xdr:colOff>
      <xdr:row>16</xdr:row>
      <xdr:rowOff>142875</xdr:rowOff>
    </xdr:to>
    <xdr:sp>
      <xdr:nvSpPr>
        <xdr:cNvPr id="138" name="Line 138"/>
        <xdr:cNvSpPr>
          <a:spLocks/>
        </xdr:cNvSpPr>
      </xdr:nvSpPr>
      <xdr:spPr>
        <a:xfrm flipV="1">
          <a:off x="990600" y="26193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19050</xdr:rowOff>
    </xdr:from>
    <xdr:to>
      <xdr:col>3</xdr:col>
      <xdr:colOff>114300</xdr:colOff>
      <xdr:row>15</xdr:row>
      <xdr:rowOff>133350</xdr:rowOff>
    </xdr:to>
    <xdr:sp>
      <xdr:nvSpPr>
        <xdr:cNvPr id="139" name="Line 139"/>
        <xdr:cNvSpPr>
          <a:spLocks/>
        </xdr:cNvSpPr>
      </xdr:nvSpPr>
      <xdr:spPr>
        <a:xfrm flipV="1">
          <a:off x="1457325" y="24479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14</xdr:row>
      <xdr:rowOff>28575</xdr:rowOff>
    </xdr:from>
    <xdr:to>
      <xdr:col>4</xdr:col>
      <xdr:colOff>114300</xdr:colOff>
      <xdr:row>14</xdr:row>
      <xdr:rowOff>142875</xdr:rowOff>
    </xdr:to>
    <xdr:sp>
      <xdr:nvSpPr>
        <xdr:cNvPr id="140" name="Line 140"/>
        <xdr:cNvSpPr>
          <a:spLocks/>
        </xdr:cNvSpPr>
      </xdr:nvSpPr>
      <xdr:spPr>
        <a:xfrm flipV="1">
          <a:off x="1943100" y="22955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28575</xdr:rowOff>
    </xdr:from>
    <xdr:to>
      <xdr:col>5</xdr:col>
      <xdr:colOff>123825</xdr:colOff>
      <xdr:row>13</xdr:row>
      <xdr:rowOff>142875</xdr:rowOff>
    </xdr:to>
    <xdr:sp>
      <xdr:nvSpPr>
        <xdr:cNvPr id="141" name="Line 141"/>
        <xdr:cNvSpPr>
          <a:spLocks/>
        </xdr:cNvSpPr>
      </xdr:nvSpPr>
      <xdr:spPr>
        <a:xfrm flipV="1">
          <a:off x="2438400" y="21336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12</xdr:row>
      <xdr:rowOff>47625</xdr:rowOff>
    </xdr:from>
    <xdr:to>
      <xdr:col>6</xdr:col>
      <xdr:colOff>114300</xdr:colOff>
      <xdr:row>13</xdr:row>
      <xdr:rowOff>0</xdr:rowOff>
    </xdr:to>
    <xdr:sp>
      <xdr:nvSpPr>
        <xdr:cNvPr id="142" name="Line 142"/>
        <xdr:cNvSpPr>
          <a:spLocks/>
        </xdr:cNvSpPr>
      </xdr:nvSpPr>
      <xdr:spPr>
        <a:xfrm flipV="1">
          <a:off x="2914650" y="19907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133350</xdr:rowOff>
    </xdr:from>
    <xdr:to>
      <xdr:col>2</xdr:col>
      <xdr:colOff>104775</xdr:colOff>
      <xdr:row>15</xdr:row>
      <xdr:rowOff>114300</xdr:rowOff>
    </xdr:to>
    <xdr:sp>
      <xdr:nvSpPr>
        <xdr:cNvPr id="143" name="Line 143"/>
        <xdr:cNvSpPr>
          <a:spLocks/>
        </xdr:cNvSpPr>
      </xdr:nvSpPr>
      <xdr:spPr>
        <a:xfrm>
          <a:off x="990600" y="24003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28575</xdr:rowOff>
    </xdr:from>
    <xdr:to>
      <xdr:col>2</xdr:col>
      <xdr:colOff>104775</xdr:colOff>
      <xdr:row>14</xdr:row>
      <xdr:rowOff>9525</xdr:rowOff>
    </xdr:to>
    <xdr:sp>
      <xdr:nvSpPr>
        <xdr:cNvPr id="144" name="Line 144"/>
        <xdr:cNvSpPr>
          <a:spLocks/>
        </xdr:cNvSpPr>
      </xdr:nvSpPr>
      <xdr:spPr>
        <a:xfrm>
          <a:off x="990600" y="21336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13</xdr:row>
      <xdr:rowOff>133350</xdr:rowOff>
    </xdr:from>
    <xdr:to>
      <xdr:col>3</xdr:col>
      <xdr:colOff>85725</xdr:colOff>
      <xdr:row>14</xdr:row>
      <xdr:rowOff>114300</xdr:rowOff>
    </xdr:to>
    <xdr:sp>
      <xdr:nvSpPr>
        <xdr:cNvPr id="145" name="Line 145"/>
        <xdr:cNvSpPr>
          <a:spLocks/>
        </xdr:cNvSpPr>
      </xdr:nvSpPr>
      <xdr:spPr>
        <a:xfrm>
          <a:off x="1457325" y="2238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152400</xdr:rowOff>
    </xdr:from>
    <xdr:to>
      <xdr:col>2</xdr:col>
      <xdr:colOff>95250</xdr:colOff>
      <xdr:row>11</xdr:row>
      <xdr:rowOff>133350</xdr:rowOff>
    </xdr:to>
    <xdr:sp>
      <xdr:nvSpPr>
        <xdr:cNvPr id="146" name="Line 146"/>
        <xdr:cNvSpPr>
          <a:spLocks/>
        </xdr:cNvSpPr>
      </xdr:nvSpPr>
      <xdr:spPr>
        <a:xfrm>
          <a:off x="981075" y="17716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142875</xdr:rowOff>
    </xdr:from>
    <xdr:to>
      <xdr:col>3</xdr:col>
      <xdr:colOff>85725</xdr:colOff>
      <xdr:row>12</xdr:row>
      <xdr:rowOff>123825</xdr:rowOff>
    </xdr:to>
    <xdr:sp>
      <xdr:nvSpPr>
        <xdr:cNvPr id="147" name="Line 147"/>
        <xdr:cNvSpPr>
          <a:spLocks/>
        </xdr:cNvSpPr>
      </xdr:nvSpPr>
      <xdr:spPr>
        <a:xfrm>
          <a:off x="1457325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123825</xdr:rowOff>
    </xdr:from>
    <xdr:to>
      <xdr:col>4</xdr:col>
      <xdr:colOff>95250</xdr:colOff>
      <xdr:row>13</xdr:row>
      <xdr:rowOff>104775</xdr:rowOff>
    </xdr:to>
    <xdr:sp>
      <xdr:nvSpPr>
        <xdr:cNvPr id="148" name="Line 148"/>
        <xdr:cNvSpPr>
          <a:spLocks/>
        </xdr:cNvSpPr>
      </xdr:nvSpPr>
      <xdr:spPr>
        <a:xfrm>
          <a:off x="1952625" y="20669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8</xdr:row>
      <xdr:rowOff>123825</xdr:rowOff>
    </xdr:from>
    <xdr:to>
      <xdr:col>2</xdr:col>
      <xdr:colOff>85725</xdr:colOff>
      <xdr:row>9</xdr:row>
      <xdr:rowOff>104775</xdr:rowOff>
    </xdr:to>
    <xdr:sp>
      <xdr:nvSpPr>
        <xdr:cNvPr id="149" name="Line 149"/>
        <xdr:cNvSpPr>
          <a:spLocks/>
        </xdr:cNvSpPr>
      </xdr:nvSpPr>
      <xdr:spPr>
        <a:xfrm>
          <a:off x="971550" y="14192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152400</xdr:rowOff>
    </xdr:from>
    <xdr:to>
      <xdr:col>3</xdr:col>
      <xdr:colOff>104775</xdr:colOff>
      <xdr:row>10</xdr:row>
      <xdr:rowOff>133350</xdr:rowOff>
    </xdr:to>
    <xdr:sp>
      <xdr:nvSpPr>
        <xdr:cNvPr id="150" name="Line 150"/>
        <xdr:cNvSpPr>
          <a:spLocks/>
        </xdr:cNvSpPr>
      </xdr:nvSpPr>
      <xdr:spPr>
        <a:xfrm>
          <a:off x="1476375" y="16097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</xdr:row>
      <xdr:rowOff>142875</xdr:rowOff>
    </xdr:from>
    <xdr:to>
      <xdr:col>4</xdr:col>
      <xdr:colOff>95250</xdr:colOff>
      <xdr:row>11</xdr:row>
      <xdr:rowOff>123825</xdr:rowOff>
    </xdr:to>
    <xdr:sp>
      <xdr:nvSpPr>
        <xdr:cNvPr id="151" name="Line 151"/>
        <xdr:cNvSpPr>
          <a:spLocks/>
        </xdr:cNvSpPr>
      </xdr:nvSpPr>
      <xdr:spPr>
        <a:xfrm>
          <a:off x="1952625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11</xdr:row>
      <xdr:rowOff>142875</xdr:rowOff>
    </xdr:from>
    <xdr:to>
      <xdr:col>5</xdr:col>
      <xdr:colOff>95250</xdr:colOff>
      <xdr:row>12</xdr:row>
      <xdr:rowOff>123825</xdr:rowOff>
    </xdr:to>
    <xdr:sp>
      <xdr:nvSpPr>
        <xdr:cNvPr id="152" name="Line 152"/>
        <xdr:cNvSpPr>
          <a:spLocks/>
        </xdr:cNvSpPr>
      </xdr:nvSpPr>
      <xdr:spPr>
        <a:xfrm>
          <a:off x="2438400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123825</xdr:rowOff>
    </xdr:from>
    <xdr:to>
      <xdr:col>2</xdr:col>
      <xdr:colOff>95250</xdr:colOff>
      <xdr:row>7</xdr:row>
      <xdr:rowOff>104775</xdr:rowOff>
    </xdr:to>
    <xdr:sp>
      <xdr:nvSpPr>
        <xdr:cNvPr id="153" name="Line 153"/>
        <xdr:cNvSpPr>
          <a:spLocks/>
        </xdr:cNvSpPr>
      </xdr:nvSpPr>
      <xdr:spPr>
        <a:xfrm>
          <a:off x="981075" y="1095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0</xdr:rowOff>
    </xdr:from>
    <xdr:to>
      <xdr:col>3</xdr:col>
      <xdr:colOff>114300</xdr:colOff>
      <xdr:row>8</xdr:row>
      <xdr:rowOff>142875</xdr:rowOff>
    </xdr:to>
    <xdr:sp>
      <xdr:nvSpPr>
        <xdr:cNvPr id="154" name="Line 154"/>
        <xdr:cNvSpPr>
          <a:spLocks/>
        </xdr:cNvSpPr>
      </xdr:nvSpPr>
      <xdr:spPr>
        <a:xfrm>
          <a:off x="1485900" y="12954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</xdr:row>
      <xdr:rowOff>0</xdr:rowOff>
    </xdr:from>
    <xdr:to>
      <xdr:col>4</xdr:col>
      <xdr:colOff>123825</xdr:colOff>
      <xdr:row>9</xdr:row>
      <xdr:rowOff>142875</xdr:rowOff>
    </xdr:to>
    <xdr:sp>
      <xdr:nvSpPr>
        <xdr:cNvPr id="155" name="Line 155"/>
        <xdr:cNvSpPr>
          <a:spLocks/>
        </xdr:cNvSpPr>
      </xdr:nvSpPr>
      <xdr:spPr>
        <a:xfrm>
          <a:off x="1981200" y="14573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9525</xdr:rowOff>
    </xdr:from>
    <xdr:to>
      <xdr:col>5</xdr:col>
      <xdr:colOff>95250</xdr:colOff>
      <xdr:row>10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2438400" y="16287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10</xdr:row>
      <xdr:rowOff>142875</xdr:rowOff>
    </xdr:from>
    <xdr:to>
      <xdr:col>6</xdr:col>
      <xdr:colOff>104775</xdr:colOff>
      <xdr:row>11</xdr:row>
      <xdr:rowOff>123825</xdr:rowOff>
    </xdr:to>
    <xdr:sp>
      <xdr:nvSpPr>
        <xdr:cNvPr id="157" name="Line 157"/>
        <xdr:cNvSpPr>
          <a:spLocks/>
        </xdr:cNvSpPr>
      </xdr:nvSpPr>
      <xdr:spPr>
        <a:xfrm>
          <a:off x="2933700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15</xdr:row>
      <xdr:rowOff>123825</xdr:rowOff>
    </xdr:from>
    <xdr:to>
      <xdr:col>11</xdr:col>
      <xdr:colOff>95250</xdr:colOff>
      <xdr:row>16</xdr:row>
      <xdr:rowOff>76200</xdr:rowOff>
    </xdr:to>
    <xdr:sp>
      <xdr:nvSpPr>
        <xdr:cNvPr id="158" name="Line 158"/>
        <xdr:cNvSpPr>
          <a:spLocks/>
        </xdr:cNvSpPr>
      </xdr:nvSpPr>
      <xdr:spPr>
        <a:xfrm flipH="1" flipV="1">
          <a:off x="5324475" y="25527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14</xdr:row>
      <xdr:rowOff>123825</xdr:rowOff>
    </xdr:from>
    <xdr:to>
      <xdr:col>10</xdr:col>
      <xdr:colOff>95250</xdr:colOff>
      <xdr:row>15</xdr:row>
      <xdr:rowOff>76200</xdr:rowOff>
    </xdr:to>
    <xdr:sp>
      <xdr:nvSpPr>
        <xdr:cNvPr id="159" name="Line 159"/>
        <xdr:cNvSpPr>
          <a:spLocks/>
        </xdr:cNvSpPr>
      </xdr:nvSpPr>
      <xdr:spPr>
        <a:xfrm flipH="1" flipV="1">
          <a:off x="4838700" y="23907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114300</xdr:rowOff>
    </xdr:from>
    <xdr:to>
      <xdr:col>9</xdr:col>
      <xdr:colOff>76200</xdr:colOff>
      <xdr:row>14</xdr:row>
      <xdr:rowOff>66675</xdr:rowOff>
    </xdr:to>
    <xdr:sp>
      <xdr:nvSpPr>
        <xdr:cNvPr id="160" name="Line 160"/>
        <xdr:cNvSpPr>
          <a:spLocks/>
        </xdr:cNvSpPr>
      </xdr:nvSpPr>
      <xdr:spPr>
        <a:xfrm flipH="1" flipV="1">
          <a:off x="4333875" y="22193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142875</xdr:rowOff>
    </xdr:from>
    <xdr:to>
      <xdr:col>8</xdr:col>
      <xdr:colOff>85725</xdr:colOff>
      <xdr:row>13</xdr:row>
      <xdr:rowOff>95250</xdr:rowOff>
    </xdr:to>
    <xdr:sp>
      <xdr:nvSpPr>
        <xdr:cNvPr id="161" name="Line 161"/>
        <xdr:cNvSpPr>
          <a:spLocks/>
        </xdr:cNvSpPr>
      </xdr:nvSpPr>
      <xdr:spPr>
        <a:xfrm flipH="1" flipV="1">
          <a:off x="3857625" y="20859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12</xdr:row>
      <xdr:rowOff>0</xdr:rowOff>
    </xdr:from>
    <xdr:to>
      <xdr:col>7</xdr:col>
      <xdr:colOff>123825</xdr:colOff>
      <xdr:row>12</xdr:row>
      <xdr:rowOff>114300</xdr:rowOff>
    </xdr:to>
    <xdr:sp>
      <xdr:nvSpPr>
        <xdr:cNvPr id="162" name="Line 162"/>
        <xdr:cNvSpPr>
          <a:spLocks/>
        </xdr:cNvSpPr>
      </xdr:nvSpPr>
      <xdr:spPr>
        <a:xfrm flipH="1" flipV="1">
          <a:off x="3409950" y="19431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</xdr:row>
      <xdr:rowOff>133350</xdr:rowOff>
    </xdr:from>
    <xdr:to>
      <xdr:col>11</xdr:col>
      <xdr:colOff>114300</xdr:colOff>
      <xdr:row>7</xdr:row>
      <xdr:rowOff>133350</xdr:rowOff>
    </xdr:to>
    <xdr:sp>
      <xdr:nvSpPr>
        <xdr:cNvPr id="163" name="Line 163"/>
        <xdr:cNvSpPr>
          <a:spLocks/>
        </xdr:cNvSpPr>
      </xdr:nvSpPr>
      <xdr:spPr>
        <a:xfrm flipH="1">
          <a:off x="5362575" y="11049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9525</xdr:rowOff>
    </xdr:from>
    <xdr:to>
      <xdr:col>10</xdr:col>
      <xdr:colOff>114300</xdr:colOff>
      <xdr:row>9</xdr:row>
      <xdr:rowOff>9525</xdr:rowOff>
    </xdr:to>
    <xdr:sp>
      <xdr:nvSpPr>
        <xdr:cNvPr id="164" name="Line 164"/>
        <xdr:cNvSpPr>
          <a:spLocks/>
        </xdr:cNvSpPr>
      </xdr:nvSpPr>
      <xdr:spPr>
        <a:xfrm flipH="1">
          <a:off x="4876800" y="13049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9</xdr:row>
      <xdr:rowOff>9525</xdr:rowOff>
    </xdr:from>
    <xdr:to>
      <xdr:col>9</xdr:col>
      <xdr:colOff>85725</xdr:colOff>
      <xdr:row>10</xdr:row>
      <xdr:rowOff>9525</xdr:rowOff>
    </xdr:to>
    <xdr:sp>
      <xdr:nvSpPr>
        <xdr:cNvPr id="165" name="Line 165"/>
        <xdr:cNvSpPr>
          <a:spLocks/>
        </xdr:cNvSpPr>
      </xdr:nvSpPr>
      <xdr:spPr>
        <a:xfrm flipH="1">
          <a:off x="4362450" y="14668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10</xdr:row>
      <xdr:rowOff>0</xdr:rowOff>
    </xdr:from>
    <xdr:to>
      <xdr:col>8</xdr:col>
      <xdr:colOff>104775</xdr:colOff>
      <xdr:row>11</xdr:row>
      <xdr:rowOff>0</xdr:rowOff>
    </xdr:to>
    <xdr:sp>
      <xdr:nvSpPr>
        <xdr:cNvPr id="166" name="Line 166"/>
        <xdr:cNvSpPr>
          <a:spLocks/>
        </xdr:cNvSpPr>
      </xdr:nvSpPr>
      <xdr:spPr>
        <a:xfrm flipH="1">
          <a:off x="3895725" y="1619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142875</xdr:rowOff>
    </xdr:from>
    <xdr:to>
      <xdr:col>7</xdr:col>
      <xdr:colOff>114300</xdr:colOff>
      <xdr:row>11</xdr:row>
      <xdr:rowOff>142875</xdr:rowOff>
    </xdr:to>
    <xdr:sp>
      <xdr:nvSpPr>
        <xdr:cNvPr id="167" name="Line 167"/>
        <xdr:cNvSpPr>
          <a:spLocks/>
        </xdr:cNvSpPr>
      </xdr:nvSpPr>
      <xdr:spPr>
        <a:xfrm flipH="1">
          <a:off x="34194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8</xdr:row>
      <xdr:rowOff>123825</xdr:rowOff>
    </xdr:from>
    <xdr:to>
      <xdr:col>11</xdr:col>
      <xdr:colOff>114300</xdr:colOff>
      <xdr:row>9</xdr:row>
      <xdr:rowOff>123825</xdr:rowOff>
    </xdr:to>
    <xdr:sp>
      <xdr:nvSpPr>
        <xdr:cNvPr id="168" name="Line 168"/>
        <xdr:cNvSpPr>
          <a:spLocks/>
        </xdr:cNvSpPr>
      </xdr:nvSpPr>
      <xdr:spPr>
        <a:xfrm flipH="1">
          <a:off x="5362575" y="14192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9</xdr:row>
      <xdr:rowOff>142875</xdr:rowOff>
    </xdr:from>
    <xdr:to>
      <xdr:col>10</xdr:col>
      <xdr:colOff>95250</xdr:colOff>
      <xdr:row>10</xdr:row>
      <xdr:rowOff>142875</xdr:rowOff>
    </xdr:to>
    <xdr:sp>
      <xdr:nvSpPr>
        <xdr:cNvPr id="169" name="Line 169"/>
        <xdr:cNvSpPr>
          <a:spLocks/>
        </xdr:cNvSpPr>
      </xdr:nvSpPr>
      <xdr:spPr>
        <a:xfrm flipH="1">
          <a:off x="4857750" y="16002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</xdr:row>
      <xdr:rowOff>142875</xdr:rowOff>
    </xdr:from>
    <xdr:to>
      <xdr:col>9</xdr:col>
      <xdr:colOff>95250</xdr:colOff>
      <xdr:row>11</xdr:row>
      <xdr:rowOff>142875</xdr:rowOff>
    </xdr:to>
    <xdr:sp>
      <xdr:nvSpPr>
        <xdr:cNvPr id="170" name="Line 170"/>
        <xdr:cNvSpPr>
          <a:spLocks/>
        </xdr:cNvSpPr>
      </xdr:nvSpPr>
      <xdr:spPr>
        <a:xfrm flipH="1">
          <a:off x="43719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11</xdr:row>
      <xdr:rowOff>114300</xdr:rowOff>
    </xdr:from>
    <xdr:to>
      <xdr:col>8</xdr:col>
      <xdr:colOff>76200</xdr:colOff>
      <xdr:row>12</xdr:row>
      <xdr:rowOff>114300</xdr:rowOff>
    </xdr:to>
    <xdr:sp>
      <xdr:nvSpPr>
        <xdr:cNvPr id="171" name="Line 171"/>
        <xdr:cNvSpPr>
          <a:spLocks/>
        </xdr:cNvSpPr>
      </xdr:nvSpPr>
      <xdr:spPr>
        <a:xfrm flipH="1">
          <a:off x="3867150" y="189547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10</xdr:row>
      <xdr:rowOff>133350</xdr:rowOff>
    </xdr:from>
    <xdr:to>
      <xdr:col>11</xdr:col>
      <xdr:colOff>85725</xdr:colOff>
      <xdr:row>11</xdr:row>
      <xdr:rowOff>133350</xdr:rowOff>
    </xdr:to>
    <xdr:sp>
      <xdr:nvSpPr>
        <xdr:cNvPr id="172" name="Line 172"/>
        <xdr:cNvSpPr>
          <a:spLocks/>
        </xdr:cNvSpPr>
      </xdr:nvSpPr>
      <xdr:spPr>
        <a:xfrm flipH="1">
          <a:off x="5334000" y="17526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133350</xdr:rowOff>
    </xdr:from>
    <xdr:to>
      <xdr:col>10</xdr:col>
      <xdr:colOff>85725</xdr:colOff>
      <xdr:row>12</xdr:row>
      <xdr:rowOff>133350</xdr:rowOff>
    </xdr:to>
    <xdr:sp>
      <xdr:nvSpPr>
        <xdr:cNvPr id="173" name="Line 173"/>
        <xdr:cNvSpPr>
          <a:spLocks/>
        </xdr:cNvSpPr>
      </xdr:nvSpPr>
      <xdr:spPr>
        <a:xfrm flipH="1">
          <a:off x="4848225" y="19145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114300</xdr:rowOff>
    </xdr:from>
    <xdr:to>
      <xdr:col>9</xdr:col>
      <xdr:colOff>85725</xdr:colOff>
      <xdr:row>13</xdr:row>
      <xdr:rowOff>114300</xdr:rowOff>
    </xdr:to>
    <xdr:sp>
      <xdr:nvSpPr>
        <xdr:cNvPr id="174" name="#86"/>
        <xdr:cNvSpPr>
          <a:spLocks/>
        </xdr:cNvSpPr>
      </xdr:nvSpPr>
      <xdr:spPr>
        <a:xfrm flipH="1">
          <a:off x="4362450" y="20574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12</xdr:row>
      <xdr:rowOff>76200</xdr:rowOff>
    </xdr:from>
    <xdr:to>
      <xdr:col>11</xdr:col>
      <xdr:colOff>133350</xdr:colOff>
      <xdr:row>13</xdr:row>
      <xdr:rowOff>76200</xdr:rowOff>
    </xdr:to>
    <xdr:sp>
      <xdr:nvSpPr>
        <xdr:cNvPr id="175" name="Line 175"/>
        <xdr:cNvSpPr>
          <a:spLocks/>
        </xdr:cNvSpPr>
      </xdr:nvSpPr>
      <xdr:spPr>
        <a:xfrm flipH="1">
          <a:off x="5381625" y="20193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13</xdr:row>
      <xdr:rowOff>104775</xdr:rowOff>
    </xdr:from>
    <xdr:to>
      <xdr:col>10</xdr:col>
      <xdr:colOff>76200</xdr:colOff>
      <xdr:row>14</xdr:row>
      <xdr:rowOff>104775</xdr:rowOff>
    </xdr:to>
    <xdr:sp>
      <xdr:nvSpPr>
        <xdr:cNvPr id="176" name="Line 176"/>
        <xdr:cNvSpPr>
          <a:spLocks/>
        </xdr:cNvSpPr>
      </xdr:nvSpPr>
      <xdr:spPr>
        <a:xfrm flipH="1">
          <a:off x="4838700" y="22098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14</xdr:row>
      <xdr:rowOff>114300</xdr:rowOff>
    </xdr:from>
    <xdr:to>
      <xdr:col>11</xdr:col>
      <xdr:colOff>85725</xdr:colOff>
      <xdr:row>15</xdr:row>
      <xdr:rowOff>114300</xdr:rowOff>
    </xdr:to>
    <xdr:sp>
      <xdr:nvSpPr>
        <xdr:cNvPr id="177" name="Line 177"/>
        <xdr:cNvSpPr>
          <a:spLocks/>
        </xdr:cNvSpPr>
      </xdr:nvSpPr>
      <xdr:spPr>
        <a:xfrm flipH="1">
          <a:off x="5334000" y="2381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66675</xdr:rowOff>
    </xdr:from>
    <xdr:to>
      <xdr:col>3</xdr:col>
      <xdr:colOff>342900</xdr:colOff>
      <xdr:row>16</xdr:row>
      <xdr:rowOff>85725</xdr:rowOff>
    </xdr:to>
    <xdr:sp>
      <xdr:nvSpPr>
        <xdr:cNvPr id="178" name="Line 178"/>
        <xdr:cNvSpPr>
          <a:spLocks/>
        </xdr:cNvSpPr>
      </xdr:nvSpPr>
      <xdr:spPr>
        <a:xfrm flipV="1">
          <a:off x="1924050" y="2495550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14</xdr:row>
      <xdr:rowOff>47625</xdr:rowOff>
    </xdr:from>
    <xdr:to>
      <xdr:col>4</xdr:col>
      <xdr:colOff>333375</xdr:colOff>
      <xdr:row>15</xdr:row>
      <xdr:rowOff>66675</xdr:rowOff>
    </xdr:to>
    <xdr:sp>
      <xdr:nvSpPr>
        <xdr:cNvPr id="179" name="Line 179"/>
        <xdr:cNvSpPr>
          <a:spLocks/>
        </xdr:cNvSpPr>
      </xdr:nvSpPr>
      <xdr:spPr>
        <a:xfrm flipV="1">
          <a:off x="2400300" y="2314575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</xdr:row>
      <xdr:rowOff>47625</xdr:rowOff>
    </xdr:from>
    <xdr:to>
      <xdr:col>5</xdr:col>
      <xdr:colOff>333375</xdr:colOff>
      <xdr:row>14</xdr:row>
      <xdr:rowOff>66675</xdr:rowOff>
    </xdr:to>
    <xdr:sp>
      <xdr:nvSpPr>
        <xdr:cNvPr id="180" name="Line 180"/>
        <xdr:cNvSpPr>
          <a:spLocks/>
        </xdr:cNvSpPr>
      </xdr:nvSpPr>
      <xdr:spPr>
        <a:xfrm flipV="1">
          <a:off x="2886075" y="2152650"/>
          <a:ext cx="0" cy="1809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</xdr:row>
      <xdr:rowOff>85725</xdr:rowOff>
    </xdr:from>
    <xdr:to>
      <xdr:col>6</xdr:col>
      <xdr:colOff>352425</xdr:colOff>
      <xdr:row>3</xdr:row>
      <xdr:rowOff>123825</xdr:rowOff>
    </xdr:to>
    <xdr:sp>
      <xdr:nvSpPr>
        <xdr:cNvPr id="181" name="Line 181"/>
        <xdr:cNvSpPr>
          <a:spLocks/>
        </xdr:cNvSpPr>
      </xdr:nvSpPr>
      <xdr:spPr>
        <a:xfrm>
          <a:off x="3381375" y="4095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</xdr:row>
      <xdr:rowOff>85725</xdr:rowOff>
    </xdr:from>
    <xdr:to>
      <xdr:col>6</xdr:col>
      <xdr:colOff>361950</xdr:colOff>
      <xdr:row>5</xdr:row>
      <xdr:rowOff>123825</xdr:rowOff>
    </xdr:to>
    <xdr:sp>
      <xdr:nvSpPr>
        <xdr:cNvPr id="182" name="Line 182"/>
        <xdr:cNvSpPr>
          <a:spLocks/>
        </xdr:cNvSpPr>
      </xdr:nvSpPr>
      <xdr:spPr>
        <a:xfrm>
          <a:off x="339090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6</xdr:row>
      <xdr:rowOff>85725</xdr:rowOff>
    </xdr:from>
    <xdr:to>
      <xdr:col>6</xdr:col>
      <xdr:colOff>371475</xdr:colOff>
      <xdr:row>7</xdr:row>
      <xdr:rowOff>123825</xdr:rowOff>
    </xdr:to>
    <xdr:sp>
      <xdr:nvSpPr>
        <xdr:cNvPr id="183" name="Line 183"/>
        <xdr:cNvSpPr>
          <a:spLocks/>
        </xdr:cNvSpPr>
      </xdr:nvSpPr>
      <xdr:spPr>
        <a:xfrm>
          <a:off x="340042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8</xdr:row>
      <xdr:rowOff>85725</xdr:rowOff>
    </xdr:from>
    <xdr:to>
      <xdr:col>6</xdr:col>
      <xdr:colOff>371475</xdr:colOff>
      <xdr:row>9</xdr:row>
      <xdr:rowOff>123825</xdr:rowOff>
    </xdr:to>
    <xdr:sp>
      <xdr:nvSpPr>
        <xdr:cNvPr id="184" name="Line 184"/>
        <xdr:cNvSpPr>
          <a:spLocks/>
        </xdr:cNvSpPr>
      </xdr:nvSpPr>
      <xdr:spPr>
        <a:xfrm>
          <a:off x="3400425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10</xdr:row>
      <xdr:rowOff>85725</xdr:rowOff>
    </xdr:from>
    <xdr:to>
      <xdr:col>6</xdr:col>
      <xdr:colOff>381000</xdr:colOff>
      <xdr:row>11</xdr:row>
      <xdr:rowOff>123825</xdr:rowOff>
    </xdr:to>
    <xdr:sp>
      <xdr:nvSpPr>
        <xdr:cNvPr id="185" name="Line 185"/>
        <xdr:cNvSpPr>
          <a:spLocks/>
        </xdr:cNvSpPr>
      </xdr:nvSpPr>
      <xdr:spPr>
        <a:xfrm>
          <a:off x="3409950" y="1704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3</xdr:row>
      <xdr:rowOff>76200</xdr:rowOff>
    </xdr:from>
    <xdr:to>
      <xdr:col>7</xdr:col>
      <xdr:colOff>381000</xdr:colOff>
      <xdr:row>4</xdr:row>
      <xdr:rowOff>114300</xdr:rowOff>
    </xdr:to>
    <xdr:sp>
      <xdr:nvSpPr>
        <xdr:cNvPr id="186" name="Line 186"/>
        <xdr:cNvSpPr>
          <a:spLocks/>
        </xdr:cNvSpPr>
      </xdr:nvSpPr>
      <xdr:spPr>
        <a:xfrm>
          <a:off x="3895725" y="5619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5</xdr:row>
      <xdr:rowOff>76200</xdr:rowOff>
    </xdr:from>
    <xdr:to>
      <xdr:col>7</xdr:col>
      <xdr:colOff>381000</xdr:colOff>
      <xdr:row>6</xdr:row>
      <xdr:rowOff>114300</xdr:rowOff>
    </xdr:to>
    <xdr:sp>
      <xdr:nvSpPr>
        <xdr:cNvPr id="187" name="Line 187"/>
        <xdr:cNvSpPr>
          <a:spLocks/>
        </xdr:cNvSpPr>
      </xdr:nvSpPr>
      <xdr:spPr>
        <a:xfrm>
          <a:off x="389572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7</xdr:row>
      <xdr:rowOff>76200</xdr:rowOff>
    </xdr:from>
    <xdr:to>
      <xdr:col>7</xdr:col>
      <xdr:colOff>381000</xdr:colOff>
      <xdr:row>8</xdr:row>
      <xdr:rowOff>114300</xdr:rowOff>
    </xdr:to>
    <xdr:sp>
      <xdr:nvSpPr>
        <xdr:cNvPr id="188" name="Line 188"/>
        <xdr:cNvSpPr>
          <a:spLocks/>
        </xdr:cNvSpPr>
      </xdr:nvSpPr>
      <xdr:spPr>
        <a:xfrm>
          <a:off x="38957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9</xdr:row>
      <xdr:rowOff>76200</xdr:rowOff>
    </xdr:from>
    <xdr:to>
      <xdr:col>7</xdr:col>
      <xdr:colOff>371475</xdr:colOff>
      <xdr:row>10</xdr:row>
      <xdr:rowOff>114300</xdr:rowOff>
    </xdr:to>
    <xdr:sp>
      <xdr:nvSpPr>
        <xdr:cNvPr id="189" name="Line 189"/>
        <xdr:cNvSpPr>
          <a:spLocks/>
        </xdr:cNvSpPr>
      </xdr:nvSpPr>
      <xdr:spPr>
        <a:xfrm>
          <a:off x="3886200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4</xdr:row>
      <xdr:rowOff>85725</xdr:rowOff>
    </xdr:from>
    <xdr:to>
      <xdr:col>8</xdr:col>
      <xdr:colOff>361950</xdr:colOff>
      <xdr:row>5</xdr:row>
      <xdr:rowOff>123825</xdr:rowOff>
    </xdr:to>
    <xdr:sp>
      <xdr:nvSpPr>
        <xdr:cNvPr id="190" name="Line 190"/>
        <xdr:cNvSpPr>
          <a:spLocks/>
        </xdr:cNvSpPr>
      </xdr:nvSpPr>
      <xdr:spPr>
        <a:xfrm>
          <a:off x="4362450" y="7334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6</xdr:row>
      <xdr:rowOff>76200</xdr:rowOff>
    </xdr:from>
    <xdr:to>
      <xdr:col>8</xdr:col>
      <xdr:colOff>371475</xdr:colOff>
      <xdr:row>7</xdr:row>
      <xdr:rowOff>114300</xdr:rowOff>
    </xdr:to>
    <xdr:sp>
      <xdr:nvSpPr>
        <xdr:cNvPr id="191" name="Line 191"/>
        <xdr:cNvSpPr>
          <a:spLocks/>
        </xdr:cNvSpPr>
      </xdr:nvSpPr>
      <xdr:spPr>
        <a:xfrm>
          <a:off x="4371975" y="10477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8</xdr:row>
      <xdr:rowOff>76200</xdr:rowOff>
    </xdr:from>
    <xdr:to>
      <xdr:col>8</xdr:col>
      <xdr:colOff>371475</xdr:colOff>
      <xdr:row>9</xdr:row>
      <xdr:rowOff>114300</xdr:rowOff>
    </xdr:to>
    <xdr:sp>
      <xdr:nvSpPr>
        <xdr:cNvPr id="192" name="Line 192"/>
        <xdr:cNvSpPr>
          <a:spLocks/>
        </xdr:cNvSpPr>
      </xdr:nvSpPr>
      <xdr:spPr>
        <a:xfrm>
          <a:off x="4371975" y="13716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5</xdr:row>
      <xdr:rowOff>85725</xdr:rowOff>
    </xdr:from>
    <xdr:to>
      <xdr:col>9</xdr:col>
      <xdr:colOff>361950</xdr:colOff>
      <xdr:row>6</xdr:row>
      <xdr:rowOff>123825</xdr:rowOff>
    </xdr:to>
    <xdr:sp>
      <xdr:nvSpPr>
        <xdr:cNvPr id="193" name="Line 193"/>
        <xdr:cNvSpPr>
          <a:spLocks/>
        </xdr:cNvSpPr>
      </xdr:nvSpPr>
      <xdr:spPr>
        <a:xfrm>
          <a:off x="4848225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7</xdr:row>
      <xdr:rowOff>76200</xdr:rowOff>
    </xdr:from>
    <xdr:to>
      <xdr:col>9</xdr:col>
      <xdr:colOff>361950</xdr:colOff>
      <xdr:row>8</xdr:row>
      <xdr:rowOff>114300</xdr:rowOff>
    </xdr:to>
    <xdr:sp>
      <xdr:nvSpPr>
        <xdr:cNvPr id="194" name="Line 194"/>
        <xdr:cNvSpPr>
          <a:spLocks/>
        </xdr:cNvSpPr>
      </xdr:nvSpPr>
      <xdr:spPr>
        <a:xfrm>
          <a:off x="4848225" y="12096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6</xdr:row>
      <xdr:rowOff>85725</xdr:rowOff>
    </xdr:from>
    <xdr:to>
      <xdr:col>10</xdr:col>
      <xdr:colOff>352425</xdr:colOff>
      <xdr:row>7</xdr:row>
      <xdr:rowOff>123825</xdr:rowOff>
    </xdr:to>
    <xdr:sp>
      <xdr:nvSpPr>
        <xdr:cNvPr id="195" name="Line 195"/>
        <xdr:cNvSpPr>
          <a:spLocks/>
        </xdr:cNvSpPr>
      </xdr:nvSpPr>
      <xdr:spPr>
        <a:xfrm>
          <a:off x="5324475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3</xdr:row>
      <xdr:rowOff>85725</xdr:rowOff>
    </xdr:from>
    <xdr:to>
      <xdr:col>5</xdr:col>
      <xdr:colOff>371475</xdr:colOff>
      <xdr:row>4</xdr:row>
      <xdr:rowOff>123825</xdr:rowOff>
    </xdr:to>
    <xdr:sp>
      <xdr:nvSpPr>
        <xdr:cNvPr id="196" name="Line 196"/>
        <xdr:cNvSpPr>
          <a:spLocks/>
        </xdr:cNvSpPr>
      </xdr:nvSpPr>
      <xdr:spPr>
        <a:xfrm>
          <a:off x="2914650" y="5715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5</xdr:row>
      <xdr:rowOff>76200</xdr:rowOff>
    </xdr:from>
    <xdr:to>
      <xdr:col>5</xdr:col>
      <xdr:colOff>381000</xdr:colOff>
      <xdr:row>6</xdr:row>
      <xdr:rowOff>114300</xdr:rowOff>
    </xdr:to>
    <xdr:sp>
      <xdr:nvSpPr>
        <xdr:cNvPr id="197" name="Line 197"/>
        <xdr:cNvSpPr>
          <a:spLocks/>
        </xdr:cNvSpPr>
      </xdr:nvSpPr>
      <xdr:spPr>
        <a:xfrm>
          <a:off x="2924175" y="8858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95250</xdr:rowOff>
    </xdr:from>
    <xdr:to>
      <xdr:col>5</xdr:col>
      <xdr:colOff>381000</xdr:colOff>
      <xdr:row>8</xdr:row>
      <xdr:rowOff>133350</xdr:rowOff>
    </xdr:to>
    <xdr:sp>
      <xdr:nvSpPr>
        <xdr:cNvPr id="198" name="Line 198"/>
        <xdr:cNvSpPr>
          <a:spLocks/>
        </xdr:cNvSpPr>
      </xdr:nvSpPr>
      <xdr:spPr>
        <a:xfrm>
          <a:off x="2924175" y="12287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9</xdr:row>
      <xdr:rowOff>76200</xdr:rowOff>
    </xdr:from>
    <xdr:to>
      <xdr:col>5</xdr:col>
      <xdr:colOff>381000</xdr:colOff>
      <xdr:row>10</xdr:row>
      <xdr:rowOff>114300</xdr:rowOff>
    </xdr:to>
    <xdr:sp>
      <xdr:nvSpPr>
        <xdr:cNvPr id="199" name="Line 199"/>
        <xdr:cNvSpPr>
          <a:spLocks/>
        </xdr:cNvSpPr>
      </xdr:nvSpPr>
      <xdr:spPr>
        <a:xfrm>
          <a:off x="2924175" y="15335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4</xdr:row>
      <xdr:rowOff>95250</xdr:rowOff>
    </xdr:from>
    <xdr:to>
      <xdr:col>4</xdr:col>
      <xdr:colOff>361950</xdr:colOff>
      <xdr:row>5</xdr:row>
      <xdr:rowOff>133350</xdr:rowOff>
    </xdr:to>
    <xdr:sp>
      <xdr:nvSpPr>
        <xdr:cNvPr id="200" name="Line 200"/>
        <xdr:cNvSpPr>
          <a:spLocks/>
        </xdr:cNvSpPr>
      </xdr:nvSpPr>
      <xdr:spPr>
        <a:xfrm>
          <a:off x="2419350" y="7429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6</xdr:row>
      <xdr:rowOff>66675</xdr:rowOff>
    </xdr:from>
    <xdr:to>
      <xdr:col>4</xdr:col>
      <xdr:colOff>371475</xdr:colOff>
      <xdr:row>7</xdr:row>
      <xdr:rowOff>104775</xdr:rowOff>
    </xdr:to>
    <xdr:sp>
      <xdr:nvSpPr>
        <xdr:cNvPr id="201" name="Line 201"/>
        <xdr:cNvSpPr>
          <a:spLocks/>
        </xdr:cNvSpPr>
      </xdr:nvSpPr>
      <xdr:spPr>
        <a:xfrm>
          <a:off x="2428875" y="10382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8</xdr:row>
      <xdr:rowOff>85725</xdr:rowOff>
    </xdr:from>
    <xdr:to>
      <xdr:col>4</xdr:col>
      <xdr:colOff>361950</xdr:colOff>
      <xdr:row>9</xdr:row>
      <xdr:rowOff>123825</xdr:rowOff>
    </xdr:to>
    <xdr:sp>
      <xdr:nvSpPr>
        <xdr:cNvPr id="202" name="Line 202"/>
        <xdr:cNvSpPr>
          <a:spLocks/>
        </xdr:cNvSpPr>
      </xdr:nvSpPr>
      <xdr:spPr>
        <a:xfrm>
          <a:off x="2419350" y="138112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</xdr:row>
      <xdr:rowOff>85725</xdr:rowOff>
    </xdr:from>
    <xdr:to>
      <xdr:col>3</xdr:col>
      <xdr:colOff>390525</xdr:colOff>
      <xdr:row>6</xdr:row>
      <xdr:rowOff>123825</xdr:rowOff>
    </xdr:to>
    <xdr:sp>
      <xdr:nvSpPr>
        <xdr:cNvPr id="203" name="Line 203"/>
        <xdr:cNvSpPr>
          <a:spLocks/>
        </xdr:cNvSpPr>
      </xdr:nvSpPr>
      <xdr:spPr>
        <a:xfrm>
          <a:off x="1962150" y="895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7</xdr:row>
      <xdr:rowOff>66675</xdr:rowOff>
    </xdr:from>
    <xdr:to>
      <xdr:col>3</xdr:col>
      <xdr:colOff>390525</xdr:colOff>
      <xdr:row>8</xdr:row>
      <xdr:rowOff>104775</xdr:rowOff>
    </xdr:to>
    <xdr:sp>
      <xdr:nvSpPr>
        <xdr:cNvPr id="204" name="Line 204"/>
        <xdr:cNvSpPr>
          <a:spLocks/>
        </xdr:cNvSpPr>
      </xdr:nvSpPr>
      <xdr:spPr>
        <a:xfrm>
          <a:off x="1962150" y="12001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371475</xdr:colOff>
      <xdr:row>6</xdr:row>
      <xdr:rowOff>85725</xdr:rowOff>
    </xdr:from>
    <xdr:to>
      <xdr:col>2</xdr:col>
      <xdr:colOff>381000</xdr:colOff>
      <xdr:row>7</xdr:row>
      <xdr:rowOff>123825</xdr:rowOff>
    </xdr:to>
    <xdr:sp>
      <xdr:nvSpPr>
        <xdr:cNvPr id="205" name="Line 205"/>
        <xdr:cNvSpPr>
          <a:spLocks/>
        </xdr:cNvSpPr>
      </xdr:nvSpPr>
      <xdr:spPr>
        <a:xfrm>
          <a:off x="1466850" y="1057275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20</xdr:row>
      <xdr:rowOff>57150</xdr:rowOff>
    </xdr:from>
    <xdr:to>
      <xdr:col>6</xdr:col>
      <xdr:colOff>342900</xdr:colOff>
      <xdr:row>21</xdr:row>
      <xdr:rowOff>76200</xdr:rowOff>
    </xdr:to>
    <xdr:sp>
      <xdr:nvSpPr>
        <xdr:cNvPr id="206" name="Line 206"/>
        <xdr:cNvSpPr>
          <a:spLocks/>
        </xdr:cNvSpPr>
      </xdr:nvSpPr>
      <xdr:spPr>
        <a:xfrm flipV="1">
          <a:off x="3381375" y="3295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18</xdr:row>
      <xdr:rowOff>57150</xdr:rowOff>
    </xdr:from>
    <xdr:to>
      <xdr:col>6</xdr:col>
      <xdr:colOff>352425</xdr:colOff>
      <xdr:row>19</xdr:row>
      <xdr:rowOff>76200</xdr:rowOff>
    </xdr:to>
    <xdr:sp>
      <xdr:nvSpPr>
        <xdr:cNvPr id="207" name="Line 207"/>
        <xdr:cNvSpPr>
          <a:spLocks/>
        </xdr:cNvSpPr>
      </xdr:nvSpPr>
      <xdr:spPr>
        <a:xfrm flipV="1">
          <a:off x="33909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16</xdr:row>
      <xdr:rowOff>57150</xdr:rowOff>
    </xdr:from>
    <xdr:to>
      <xdr:col>6</xdr:col>
      <xdr:colOff>352425</xdr:colOff>
      <xdr:row>17</xdr:row>
      <xdr:rowOff>76200</xdr:rowOff>
    </xdr:to>
    <xdr:sp>
      <xdr:nvSpPr>
        <xdr:cNvPr id="208" name="Line 208"/>
        <xdr:cNvSpPr>
          <a:spLocks/>
        </xdr:cNvSpPr>
      </xdr:nvSpPr>
      <xdr:spPr>
        <a:xfrm flipV="1">
          <a:off x="33909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361950</xdr:colOff>
      <xdr:row>14</xdr:row>
      <xdr:rowOff>47625</xdr:rowOff>
    </xdr:from>
    <xdr:to>
      <xdr:col>6</xdr:col>
      <xdr:colOff>361950</xdr:colOff>
      <xdr:row>15</xdr:row>
      <xdr:rowOff>66675</xdr:rowOff>
    </xdr:to>
    <xdr:sp>
      <xdr:nvSpPr>
        <xdr:cNvPr id="209" name="Line 209"/>
        <xdr:cNvSpPr>
          <a:spLocks/>
        </xdr:cNvSpPr>
      </xdr:nvSpPr>
      <xdr:spPr>
        <a:xfrm flipV="1">
          <a:off x="3400425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12</xdr:row>
      <xdr:rowOff>66675</xdr:rowOff>
    </xdr:from>
    <xdr:to>
      <xdr:col>6</xdr:col>
      <xdr:colOff>381000</xdr:colOff>
      <xdr:row>13</xdr:row>
      <xdr:rowOff>85725</xdr:rowOff>
    </xdr:to>
    <xdr:sp>
      <xdr:nvSpPr>
        <xdr:cNvPr id="210" name="Line 210"/>
        <xdr:cNvSpPr>
          <a:spLocks/>
        </xdr:cNvSpPr>
      </xdr:nvSpPr>
      <xdr:spPr>
        <a:xfrm flipV="1">
          <a:off x="3419475" y="20097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19</xdr:row>
      <xdr:rowOff>66675</xdr:rowOff>
    </xdr:from>
    <xdr:to>
      <xdr:col>7</xdr:col>
      <xdr:colOff>342900</xdr:colOff>
      <xdr:row>20</xdr:row>
      <xdr:rowOff>85725</xdr:rowOff>
    </xdr:to>
    <xdr:sp>
      <xdr:nvSpPr>
        <xdr:cNvPr id="211" name="Line 211"/>
        <xdr:cNvSpPr>
          <a:spLocks/>
        </xdr:cNvSpPr>
      </xdr:nvSpPr>
      <xdr:spPr>
        <a:xfrm flipV="1">
          <a:off x="3867150" y="31432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17</xdr:row>
      <xdr:rowOff>66675</xdr:rowOff>
    </xdr:from>
    <xdr:to>
      <xdr:col>7</xdr:col>
      <xdr:colOff>361950</xdr:colOff>
      <xdr:row>18</xdr:row>
      <xdr:rowOff>85725</xdr:rowOff>
    </xdr:to>
    <xdr:sp>
      <xdr:nvSpPr>
        <xdr:cNvPr id="212" name="Line 212"/>
        <xdr:cNvSpPr>
          <a:spLocks/>
        </xdr:cNvSpPr>
      </xdr:nvSpPr>
      <xdr:spPr>
        <a:xfrm flipV="1">
          <a:off x="38862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15</xdr:row>
      <xdr:rowOff>57150</xdr:rowOff>
    </xdr:from>
    <xdr:to>
      <xdr:col>7</xdr:col>
      <xdr:colOff>371475</xdr:colOff>
      <xdr:row>16</xdr:row>
      <xdr:rowOff>76200</xdr:rowOff>
    </xdr:to>
    <xdr:sp>
      <xdr:nvSpPr>
        <xdr:cNvPr id="213" name="Line 213"/>
        <xdr:cNvSpPr>
          <a:spLocks/>
        </xdr:cNvSpPr>
      </xdr:nvSpPr>
      <xdr:spPr>
        <a:xfrm flipV="1">
          <a:off x="3895725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13</xdr:row>
      <xdr:rowOff>57150</xdr:rowOff>
    </xdr:from>
    <xdr:to>
      <xdr:col>7</xdr:col>
      <xdr:colOff>381000</xdr:colOff>
      <xdr:row>14</xdr:row>
      <xdr:rowOff>76200</xdr:rowOff>
    </xdr:to>
    <xdr:sp>
      <xdr:nvSpPr>
        <xdr:cNvPr id="214" name="Line 214"/>
        <xdr:cNvSpPr>
          <a:spLocks/>
        </xdr:cNvSpPr>
      </xdr:nvSpPr>
      <xdr:spPr>
        <a:xfrm flipV="1">
          <a:off x="3905250" y="21621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18</xdr:row>
      <xdr:rowOff>57150</xdr:rowOff>
    </xdr:from>
    <xdr:to>
      <xdr:col>8</xdr:col>
      <xdr:colOff>361950</xdr:colOff>
      <xdr:row>19</xdr:row>
      <xdr:rowOff>76200</xdr:rowOff>
    </xdr:to>
    <xdr:sp>
      <xdr:nvSpPr>
        <xdr:cNvPr id="215" name="Line 215"/>
        <xdr:cNvSpPr>
          <a:spLocks/>
        </xdr:cNvSpPr>
      </xdr:nvSpPr>
      <xdr:spPr>
        <a:xfrm flipV="1">
          <a:off x="4371975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16</xdr:row>
      <xdr:rowOff>47625</xdr:rowOff>
    </xdr:from>
    <xdr:to>
      <xdr:col>8</xdr:col>
      <xdr:colOff>371475</xdr:colOff>
      <xdr:row>17</xdr:row>
      <xdr:rowOff>66675</xdr:rowOff>
    </xdr:to>
    <xdr:sp>
      <xdr:nvSpPr>
        <xdr:cNvPr id="216" name="Line 216"/>
        <xdr:cNvSpPr>
          <a:spLocks/>
        </xdr:cNvSpPr>
      </xdr:nvSpPr>
      <xdr:spPr>
        <a:xfrm flipV="1">
          <a:off x="4381500" y="26384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14</xdr:row>
      <xdr:rowOff>47625</xdr:rowOff>
    </xdr:from>
    <xdr:to>
      <xdr:col>8</xdr:col>
      <xdr:colOff>390525</xdr:colOff>
      <xdr:row>15</xdr:row>
      <xdr:rowOff>66675</xdr:rowOff>
    </xdr:to>
    <xdr:sp>
      <xdr:nvSpPr>
        <xdr:cNvPr id="217" name="Line 217"/>
        <xdr:cNvSpPr>
          <a:spLocks/>
        </xdr:cNvSpPr>
      </xdr:nvSpPr>
      <xdr:spPr>
        <a:xfrm flipV="1">
          <a:off x="4400550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17</xdr:row>
      <xdr:rowOff>76200</xdr:rowOff>
    </xdr:from>
    <xdr:to>
      <xdr:col>9</xdr:col>
      <xdr:colOff>352425</xdr:colOff>
      <xdr:row>18</xdr:row>
      <xdr:rowOff>95250</xdr:rowOff>
    </xdr:to>
    <xdr:sp>
      <xdr:nvSpPr>
        <xdr:cNvPr id="218" name="Line 218"/>
        <xdr:cNvSpPr>
          <a:spLocks/>
        </xdr:cNvSpPr>
      </xdr:nvSpPr>
      <xdr:spPr>
        <a:xfrm flipV="1">
          <a:off x="4848225" y="28289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15</xdr:row>
      <xdr:rowOff>57150</xdr:rowOff>
    </xdr:from>
    <xdr:to>
      <xdr:col>9</xdr:col>
      <xdr:colOff>361950</xdr:colOff>
      <xdr:row>16</xdr:row>
      <xdr:rowOff>76200</xdr:rowOff>
    </xdr:to>
    <xdr:sp>
      <xdr:nvSpPr>
        <xdr:cNvPr id="219" name="Line 219"/>
        <xdr:cNvSpPr>
          <a:spLocks/>
        </xdr:cNvSpPr>
      </xdr:nvSpPr>
      <xdr:spPr>
        <a:xfrm flipV="1">
          <a:off x="48577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16</xdr:row>
      <xdr:rowOff>57150</xdr:rowOff>
    </xdr:from>
    <xdr:to>
      <xdr:col>10</xdr:col>
      <xdr:colOff>352425</xdr:colOff>
      <xdr:row>17</xdr:row>
      <xdr:rowOff>76200</xdr:rowOff>
    </xdr:to>
    <xdr:sp>
      <xdr:nvSpPr>
        <xdr:cNvPr id="220" name="Line 220"/>
        <xdr:cNvSpPr>
          <a:spLocks/>
        </xdr:cNvSpPr>
      </xdr:nvSpPr>
      <xdr:spPr>
        <a:xfrm flipV="1">
          <a:off x="53340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19</xdr:row>
      <xdr:rowOff>57150</xdr:rowOff>
    </xdr:from>
    <xdr:to>
      <xdr:col>5</xdr:col>
      <xdr:colOff>352425</xdr:colOff>
      <xdr:row>20</xdr:row>
      <xdr:rowOff>76200</xdr:rowOff>
    </xdr:to>
    <xdr:sp>
      <xdr:nvSpPr>
        <xdr:cNvPr id="221" name="Line 221"/>
        <xdr:cNvSpPr>
          <a:spLocks/>
        </xdr:cNvSpPr>
      </xdr:nvSpPr>
      <xdr:spPr>
        <a:xfrm flipV="1">
          <a:off x="2905125" y="31337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17</xdr:row>
      <xdr:rowOff>47625</xdr:rowOff>
    </xdr:from>
    <xdr:to>
      <xdr:col>5</xdr:col>
      <xdr:colOff>352425</xdr:colOff>
      <xdr:row>18</xdr:row>
      <xdr:rowOff>66675</xdr:rowOff>
    </xdr:to>
    <xdr:sp>
      <xdr:nvSpPr>
        <xdr:cNvPr id="222" name="Line 222"/>
        <xdr:cNvSpPr>
          <a:spLocks/>
        </xdr:cNvSpPr>
      </xdr:nvSpPr>
      <xdr:spPr>
        <a:xfrm flipV="1">
          <a:off x="2905125" y="2800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15</xdr:row>
      <xdr:rowOff>57150</xdr:rowOff>
    </xdr:from>
    <xdr:to>
      <xdr:col>5</xdr:col>
      <xdr:colOff>361950</xdr:colOff>
      <xdr:row>16</xdr:row>
      <xdr:rowOff>76200</xdr:rowOff>
    </xdr:to>
    <xdr:sp>
      <xdr:nvSpPr>
        <xdr:cNvPr id="223" name="Line 223"/>
        <xdr:cNvSpPr>
          <a:spLocks/>
        </xdr:cNvSpPr>
      </xdr:nvSpPr>
      <xdr:spPr>
        <a:xfrm flipV="1">
          <a:off x="2914650" y="248602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18</xdr:row>
      <xdr:rowOff>57150</xdr:rowOff>
    </xdr:from>
    <xdr:to>
      <xdr:col>4</xdr:col>
      <xdr:colOff>333375</xdr:colOff>
      <xdr:row>19</xdr:row>
      <xdr:rowOff>76200</xdr:rowOff>
    </xdr:to>
    <xdr:sp>
      <xdr:nvSpPr>
        <xdr:cNvPr id="224" name="Line 224"/>
        <xdr:cNvSpPr>
          <a:spLocks/>
        </xdr:cNvSpPr>
      </xdr:nvSpPr>
      <xdr:spPr>
        <a:xfrm flipV="1">
          <a:off x="2400300" y="29718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16</xdr:row>
      <xdr:rowOff>57150</xdr:rowOff>
    </xdr:from>
    <xdr:to>
      <xdr:col>4</xdr:col>
      <xdr:colOff>342900</xdr:colOff>
      <xdr:row>17</xdr:row>
      <xdr:rowOff>76200</xdr:rowOff>
    </xdr:to>
    <xdr:sp>
      <xdr:nvSpPr>
        <xdr:cNvPr id="225" name="Line 225"/>
        <xdr:cNvSpPr>
          <a:spLocks/>
        </xdr:cNvSpPr>
      </xdr:nvSpPr>
      <xdr:spPr>
        <a:xfrm flipV="1">
          <a:off x="2409825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323850</xdr:colOff>
      <xdr:row>17</xdr:row>
      <xdr:rowOff>66675</xdr:rowOff>
    </xdr:from>
    <xdr:to>
      <xdr:col>3</xdr:col>
      <xdr:colOff>323850</xdr:colOff>
      <xdr:row>18</xdr:row>
      <xdr:rowOff>85725</xdr:rowOff>
    </xdr:to>
    <xdr:sp>
      <xdr:nvSpPr>
        <xdr:cNvPr id="226" name="Line 226"/>
        <xdr:cNvSpPr>
          <a:spLocks/>
        </xdr:cNvSpPr>
      </xdr:nvSpPr>
      <xdr:spPr>
        <a:xfrm flipV="1">
          <a:off x="1905000" y="28194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16</xdr:row>
      <xdr:rowOff>57150</xdr:rowOff>
    </xdr:from>
    <xdr:to>
      <xdr:col>2</xdr:col>
      <xdr:colOff>352425</xdr:colOff>
      <xdr:row>17</xdr:row>
      <xdr:rowOff>76200</xdr:rowOff>
    </xdr:to>
    <xdr:sp>
      <xdr:nvSpPr>
        <xdr:cNvPr id="227" name="Line 227"/>
        <xdr:cNvSpPr>
          <a:spLocks/>
        </xdr:cNvSpPr>
      </xdr:nvSpPr>
      <xdr:spPr>
        <a:xfrm flipV="1">
          <a:off x="1447800" y="26479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16</xdr:row>
      <xdr:rowOff>28575</xdr:rowOff>
    </xdr:from>
    <xdr:to>
      <xdr:col>2</xdr:col>
      <xdr:colOff>133350</xdr:colOff>
      <xdr:row>16</xdr:row>
      <xdr:rowOff>142875</xdr:rowOff>
    </xdr:to>
    <xdr:sp>
      <xdr:nvSpPr>
        <xdr:cNvPr id="228" name="Line 228"/>
        <xdr:cNvSpPr>
          <a:spLocks/>
        </xdr:cNvSpPr>
      </xdr:nvSpPr>
      <xdr:spPr>
        <a:xfrm flipV="1">
          <a:off x="990600" y="26193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15</xdr:row>
      <xdr:rowOff>19050</xdr:rowOff>
    </xdr:from>
    <xdr:to>
      <xdr:col>3</xdr:col>
      <xdr:colOff>114300</xdr:colOff>
      <xdr:row>15</xdr:row>
      <xdr:rowOff>133350</xdr:rowOff>
    </xdr:to>
    <xdr:sp>
      <xdr:nvSpPr>
        <xdr:cNvPr id="229" name="Line 229"/>
        <xdr:cNvSpPr>
          <a:spLocks/>
        </xdr:cNvSpPr>
      </xdr:nvSpPr>
      <xdr:spPr>
        <a:xfrm flipV="1">
          <a:off x="1457325" y="24479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361950</xdr:colOff>
      <xdr:row>14</xdr:row>
      <xdr:rowOff>28575</xdr:rowOff>
    </xdr:from>
    <xdr:to>
      <xdr:col>4</xdr:col>
      <xdr:colOff>114300</xdr:colOff>
      <xdr:row>14</xdr:row>
      <xdr:rowOff>142875</xdr:rowOff>
    </xdr:to>
    <xdr:sp>
      <xdr:nvSpPr>
        <xdr:cNvPr id="230" name="Line 230"/>
        <xdr:cNvSpPr>
          <a:spLocks/>
        </xdr:cNvSpPr>
      </xdr:nvSpPr>
      <xdr:spPr>
        <a:xfrm flipV="1">
          <a:off x="1943100" y="22955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13</xdr:row>
      <xdr:rowOff>28575</xdr:rowOff>
    </xdr:from>
    <xdr:to>
      <xdr:col>5</xdr:col>
      <xdr:colOff>123825</xdr:colOff>
      <xdr:row>13</xdr:row>
      <xdr:rowOff>142875</xdr:rowOff>
    </xdr:to>
    <xdr:sp>
      <xdr:nvSpPr>
        <xdr:cNvPr id="231" name="Line 231"/>
        <xdr:cNvSpPr>
          <a:spLocks/>
        </xdr:cNvSpPr>
      </xdr:nvSpPr>
      <xdr:spPr>
        <a:xfrm flipV="1">
          <a:off x="2438400" y="21336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12</xdr:row>
      <xdr:rowOff>47625</xdr:rowOff>
    </xdr:from>
    <xdr:to>
      <xdr:col>6</xdr:col>
      <xdr:colOff>114300</xdr:colOff>
      <xdr:row>13</xdr:row>
      <xdr:rowOff>0</xdr:rowOff>
    </xdr:to>
    <xdr:sp>
      <xdr:nvSpPr>
        <xdr:cNvPr id="232" name="Line 232"/>
        <xdr:cNvSpPr>
          <a:spLocks/>
        </xdr:cNvSpPr>
      </xdr:nvSpPr>
      <xdr:spPr>
        <a:xfrm flipV="1">
          <a:off x="2914650" y="19907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14</xdr:row>
      <xdr:rowOff>133350</xdr:rowOff>
    </xdr:from>
    <xdr:to>
      <xdr:col>2</xdr:col>
      <xdr:colOff>104775</xdr:colOff>
      <xdr:row>15</xdr:row>
      <xdr:rowOff>114300</xdr:rowOff>
    </xdr:to>
    <xdr:sp>
      <xdr:nvSpPr>
        <xdr:cNvPr id="233" name="Line 233"/>
        <xdr:cNvSpPr>
          <a:spLocks/>
        </xdr:cNvSpPr>
      </xdr:nvSpPr>
      <xdr:spPr>
        <a:xfrm>
          <a:off x="990600" y="24003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13</xdr:row>
      <xdr:rowOff>28575</xdr:rowOff>
    </xdr:from>
    <xdr:to>
      <xdr:col>2</xdr:col>
      <xdr:colOff>104775</xdr:colOff>
      <xdr:row>14</xdr:row>
      <xdr:rowOff>9525</xdr:rowOff>
    </xdr:to>
    <xdr:sp>
      <xdr:nvSpPr>
        <xdr:cNvPr id="234" name="Line 234"/>
        <xdr:cNvSpPr>
          <a:spLocks/>
        </xdr:cNvSpPr>
      </xdr:nvSpPr>
      <xdr:spPr>
        <a:xfrm>
          <a:off x="990600" y="21336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13</xdr:row>
      <xdr:rowOff>133350</xdr:rowOff>
    </xdr:from>
    <xdr:to>
      <xdr:col>3</xdr:col>
      <xdr:colOff>85725</xdr:colOff>
      <xdr:row>14</xdr:row>
      <xdr:rowOff>114300</xdr:rowOff>
    </xdr:to>
    <xdr:sp>
      <xdr:nvSpPr>
        <xdr:cNvPr id="235" name="Line 235"/>
        <xdr:cNvSpPr>
          <a:spLocks/>
        </xdr:cNvSpPr>
      </xdr:nvSpPr>
      <xdr:spPr>
        <a:xfrm>
          <a:off x="1457325" y="2238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10</xdr:row>
      <xdr:rowOff>152400</xdr:rowOff>
    </xdr:from>
    <xdr:to>
      <xdr:col>2</xdr:col>
      <xdr:colOff>95250</xdr:colOff>
      <xdr:row>11</xdr:row>
      <xdr:rowOff>133350</xdr:rowOff>
    </xdr:to>
    <xdr:sp>
      <xdr:nvSpPr>
        <xdr:cNvPr id="236" name="Line 236"/>
        <xdr:cNvSpPr>
          <a:spLocks/>
        </xdr:cNvSpPr>
      </xdr:nvSpPr>
      <xdr:spPr>
        <a:xfrm>
          <a:off x="981075" y="17716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11</xdr:row>
      <xdr:rowOff>142875</xdr:rowOff>
    </xdr:from>
    <xdr:to>
      <xdr:col>3</xdr:col>
      <xdr:colOff>85725</xdr:colOff>
      <xdr:row>12</xdr:row>
      <xdr:rowOff>123825</xdr:rowOff>
    </xdr:to>
    <xdr:sp>
      <xdr:nvSpPr>
        <xdr:cNvPr id="237" name="Line 237"/>
        <xdr:cNvSpPr>
          <a:spLocks/>
        </xdr:cNvSpPr>
      </xdr:nvSpPr>
      <xdr:spPr>
        <a:xfrm>
          <a:off x="1457325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12</xdr:row>
      <xdr:rowOff>123825</xdr:rowOff>
    </xdr:from>
    <xdr:to>
      <xdr:col>4</xdr:col>
      <xdr:colOff>95250</xdr:colOff>
      <xdr:row>13</xdr:row>
      <xdr:rowOff>104775</xdr:rowOff>
    </xdr:to>
    <xdr:sp>
      <xdr:nvSpPr>
        <xdr:cNvPr id="238" name="Line 238"/>
        <xdr:cNvSpPr>
          <a:spLocks/>
        </xdr:cNvSpPr>
      </xdr:nvSpPr>
      <xdr:spPr>
        <a:xfrm>
          <a:off x="1952625" y="20669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361950</xdr:colOff>
      <xdr:row>8</xdr:row>
      <xdr:rowOff>123825</xdr:rowOff>
    </xdr:from>
    <xdr:to>
      <xdr:col>2</xdr:col>
      <xdr:colOff>85725</xdr:colOff>
      <xdr:row>9</xdr:row>
      <xdr:rowOff>104775</xdr:rowOff>
    </xdr:to>
    <xdr:sp>
      <xdr:nvSpPr>
        <xdr:cNvPr id="239" name="Line 239"/>
        <xdr:cNvSpPr>
          <a:spLocks/>
        </xdr:cNvSpPr>
      </xdr:nvSpPr>
      <xdr:spPr>
        <a:xfrm>
          <a:off x="971550" y="14192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9</xdr:row>
      <xdr:rowOff>152400</xdr:rowOff>
    </xdr:from>
    <xdr:to>
      <xdr:col>3</xdr:col>
      <xdr:colOff>104775</xdr:colOff>
      <xdr:row>10</xdr:row>
      <xdr:rowOff>133350</xdr:rowOff>
    </xdr:to>
    <xdr:sp>
      <xdr:nvSpPr>
        <xdr:cNvPr id="240" name="Line 240"/>
        <xdr:cNvSpPr>
          <a:spLocks/>
        </xdr:cNvSpPr>
      </xdr:nvSpPr>
      <xdr:spPr>
        <a:xfrm>
          <a:off x="1476375" y="16097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10</xdr:row>
      <xdr:rowOff>142875</xdr:rowOff>
    </xdr:from>
    <xdr:to>
      <xdr:col>4</xdr:col>
      <xdr:colOff>95250</xdr:colOff>
      <xdr:row>11</xdr:row>
      <xdr:rowOff>123825</xdr:rowOff>
    </xdr:to>
    <xdr:sp>
      <xdr:nvSpPr>
        <xdr:cNvPr id="241" name="Line 241"/>
        <xdr:cNvSpPr>
          <a:spLocks/>
        </xdr:cNvSpPr>
      </xdr:nvSpPr>
      <xdr:spPr>
        <a:xfrm>
          <a:off x="1952625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11</xdr:row>
      <xdr:rowOff>142875</xdr:rowOff>
    </xdr:from>
    <xdr:to>
      <xdr:col>5</xdr:col>
      <xdr:colOff>95250</xdr:colOff>
      <xdr:row>12</xdr:row>
      <xdr:rowOff>123825</xdr:rowOff>
    </xdr:to>
    <xdr:sp>
      <xdr:nvSpPr>
        <xdr:cNvPr id="242" name="Line 242"/>
        <xdr:cNvSpPr>
          <a:spLocks/>
        </xdr:cNvSpPr>
      </xdr:nvSpPr>
      <xdr:spPr>
        <a:xfrm>
          <a:off x="2438400" y="192405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371475</xdr:colOff>
      <xdr:row>6</xdr:row>
      <xdr:rowOff>123825</xdr:rowOff>
    </xdr:from>
    <xdr:to>
      <xdr:col>2</xdr:col>
      <xdr:colOff>95250</xdr:colOff>
      <xdr:row>7</xdr:row>
      <xdr:rowOff>104775</xdr:rowOff>
    </xdr:to>
    <xdr:sp>
      <xdr:nvSpPr>
        <xdr:cNvPr id="243" name="Line 243"/>
        <xdr:cNvSpPr>
          <a:spLocks/>
        </xdr:cNvSpPr>
      </xdr:nvSpPr>
      <xdr:spPr>
        <a:xfrm>
          <a:off x="981075" y="10953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390525</xdr:colOff>
      <xdr:row>8</xdr:row>
      <xdr:rowOff>0</xdr:rowOff>
    </xdr:from>
    <xdr:to>
      <xdr:col>3</xdr:col>
      <xdr:colOff>114300</xdr:colOff>
      <xdr:row>8</xdr:row>
      <xdr:rowOff>142875</xdr:rowOff>
    </xdr:to>
    <xdr:sp>
      <xdr:nvSpPr>
        <xdr:cNvPr id="244" name="Line 244"/>
        <xdr:cNvSpPr>
          <a:spLocks/>
        </xdr:cNvSpPr>
      </xdr:nvSpPr>
      <xdr:spPr>
        <a:xfrm>
          <a:off x="1485900" y="1295400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9</xdr:row>
      <xdr:rowOff>0</xdr:rowOff>
    </xdr:from>
    <xdr:to>
      <xdr:col>4</xdr:col>
      <xdr:colOff>123825</xdr:colOff>
      <xdr:row>9</xdr:row>
      <xdr:rowOff>142875</xdr:rowOff>
    </xdr:to>
    <xdr:sp>
      <xdr:nvSpPr>
        <xdr:cNvPr id="245" name="Line 245"/>
        <xdr:cNvSpPr>
          <a:spLocks/>
        </xdr:cNvSpPr>
      </xdr:nvSpPr>
      <xdr:spPr>
        <a:xfrm>
          <a:off x="1981200" y="14573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371475</xdr:colOff>
      <xdr:row>10</xdr:row>
      <xdr:rowOff>9525</xdr:rowOff>
    </xdr:from>
    <xdr:to>
      <xdr:col>5</xdr:col>
      <xdr:colOff>95250</xdr:colOff>
      <xdr:row>10</xdr:row>
      <xdr:rowOff>152400</xdr:rowOff>
    </xdr:to>
    <xdr:sp>
      <xdr:nvSpPr>
        <xdr:cNvPr id="246" name="Line 246"/>
        <xdr:cNvSpPr>
          <a:spLocks/>
        </xdr:cNvSpPr>
      </xdr:nvSpPr>
      <xdr:spPr>
        <a:xfrm>
          <a:off x="2438400" y="162877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10</xdr:row>
      <xdr:rowOff>142875</xdr:rowOff>
    </xdr:from>
    <xdr:to>
      <xdr:col>6</xdr:col>
      <xdr:colOff>104775</xdr:colOff>
      <xdr:row>11</xdr:row>
      <xdr:rowOff>123825</xdr:rowOff>
    </xdr:to>
    <xdr:sp>
      <xdr:nvSpPr>
        <xdr:cNvPr id="247" name="Line 247"/>
        <xdr:cNvSpPr>
          <a:spLocks/>
        </xdr:cNvSpPr>
      </xdr:nvSpPr>
      <xdr:spPr>
        <a:xfrm>
          <a:off x="2933700" y="1762125"/>
          <a:ext cx="2095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342900</xdr:colOff>
      <xdr:row>15</xdr:row>
      <xdr:rowOff>123825</xdr:rowOff>
    </xdr:from>
    <xdr:to>
      <xdr:col>11</xdr:col>
      <xdr:colOff>95250</xdr:colOff>
      <xdr:row>16</xdr:row>
      <xdr:rowOff>76200</xdr:rowOff>
    </xdr:to>
    <xdr:sp>
      <xdr:nvSpPr>
        <xdr:cNvPr id="248" name="Line 248"/>
        <xdr:cNvSpPr>
          <a:spLocks/>
        </xdr:cNvSpPr>
      </xdr:nvSpPr>
      <xdr:spPr>
        <a:xfrm flipH="1" flipV="1">
          <a:off x="5324475" y="25527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14</xdr:row>
      <xdr:rowOff>123825</xdr:rowOff>
    </xdr:from>
    <xdr:to>
      <xdr:col>10</xdr:col>
      <xdr:colOff>95250</xdr:colOff>
      <xdr:row>15</xdr:row>
      <xdr:rowOff>76200</xdr:rowOff>
    </xdr:to>
    <xdr:sp>
      <xdr:nvSpPr>
        <xdr:cNvPr id="249" name="Line 249"/>
        <xdr:cNvSpPr>
          <a:spLocks/>
        </xdr:cNvSpPr>
      </xdr:nvSpPr>
      <xdr:spPr>
        <a:xfrm flipH="1" flipV="1">
          <a:off x="4838700" y="23907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114300</xdr:rowOff>
    </xdr:from>
    <xdr:to>
      <xdr:col>9</xdr:col>
      <xdr:colOff>76200</xdr:colOff>
      <xdr:row>14</xdr:row>
      <xdr:rowOff>66675</xdr:rowOff>
    </xdr:to>
    <xdr:sp>
      <xdr:nvSpPr>
        <xdr:cNvPr id="250" name="Line 250"/>
        <xdr:cNvSpPr>
          <a:spLocks/>
        </xdr:cNvSpPr>
      </xdr:nvSpPr>
      <xdr:spPr>
        <a:xfrm flipH="1" flipV="1">
          <a:off x="4333875" y="221932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12</xdr:row>
      <xdr:rowOff>142875</xdr:rowOff>
    </xdr:from>
    <xdr:to>
      <xdr:col>8</xdr:col>
      <xdr:colOff>85725</xdr:colOff>
      <xdr:row>13</xdr:row>
      <xdr:rowOff>95250</xdr:rowOff>
    </xdr:to>
    <xdr:sp>
      <xdr:nvSpPr>
        <xdr:cNvPr id="251" name="Line 251"/>
        <xdr:cNvSpPr>
          <a:spLocks/>
        </xdr:cNvSpPr>
      </xdr:nvSpPr>
      <xdr:spPr>
        <a:xfrm flipH="1" flipV="1">
          <a:off x="3857625" y="2085975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12</xdr:row>
      <xdr:rowOff>0</xdr:rowOff>
    </xdr:from>
    <xdr:to>
      <xdr:col>7</xdr:col>
      <xdr:colOff>123825</xdr:colOff>
      <xdr:row>12</xdr:row>
      <xdr:rowOff>114300</xdr:rowOff>
    </xdr:to>
    <xdr:sp>
      <xdr:nvSpPr>
        <xdr:cNvPr id="252" name="Line 252"/>
        <xdr:cNvSpPr>
          <a:spLocks/>
        </xdr:cNvSpPr>
      </xdr:nvSpPr>
      <xdr:spPr>
        <a:xfrm flipH="1" flipV="1">
          <a:off x="3409950" y="1943100"/>
          <a:ext cx="2381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6</xdr:row>
      <xdr:rowOff>133350</xdr:rowOff>
    </xdr:from>
    <xdr:to>
      <xdr:col>11</xdr:col>
      <xdr:colOff>114300</xdr:colOff>
      <xdr:row>7</xdr:row>
      <xdr:rowOff>133350</xdr:rowOff>
    </xdr:to>
    <xdr:sp>
      <xdr:nvSpPr>
        <xdr:cNvPr id="253" name="Line 253"/>
        <xdr:cNvSpPr>
          <a:spLocks/>
        </xdr:cNvSpPr>
      </xdr:nvSpPr>
      <xdr:spPr>
        <a:xfrm flipH="1">
          <a:off x="5362575" y="11049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8</xdr:row>
      <xdr:rowOff>9525</xdr:rowOff>
    </xdr:from>
    <xdr:to>
      <xdr:col>10</xdr:col>
      <xdr:colOff>114300</xdr:colOff>
      <xdr:row>9</xdr:row>
      <xdr:rowOff>9525</xdr:rowOff>
    </xdr:to>
    <xdr:sp>
      <xdr:nvSpPr>
        <xdr:cNvPr id="254" name="Line 254"/>
        <xdr:cNvSpPr>
          <a:spLocks/>
        </xdr:cNvSpPr>
      </xdr:nvSpPr>
      <xdr:spPr>
        <a:xfrm flipH="1">
          <a:off x="4876800" y="13049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9</xdr:row>
      <xdr:rowOff>9525</xdr:rowOff>
    </xdr:from>
    <xdr:to>
      <xdr:col>9</xdr:col>
      <xdr:colOff>85725</xdr:colOff>
      <xdr:row>10</xdr:row>
      <xdr:rowOff>9525</xdr:rowOff>
    </xdr:to>
    <xdr:sp>
      <xdr:nvSpPr>
        <xdr:cNvPr id="255" name="Line 255"/>
        <xdr:cNvSpPr>
          <a:spLocks/>
        </xdr:cNvSpPr>
      </xdr:nvSpPr>
      <xdr:spPr>
        <a:xfrm flipH="1">
          <a:off x="4362450" y="14668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371475</xdr:colOff>
      <xdr:row>10</xdr:row>
      <xdr:rowOff>0</xdr:rowOff>
    </xdr:from>
    <xdr:to>
      <xdr:col>8</xdr:col>
      <xdr:colOff>104775</xdr:colOff>
      <xdr:row>11</xdr:row>
      <xdr:rowOff>0</xdr:rowOff>
    </xdr:to>
    <xdr:sp>
      <xdr:nvSpPr>
        <xdr:cNvPr id="256" name="Line 256"/>
        <xdr:cNvSpPr>
          <a:spLocks/>
        </xdr:cNvSpPr>
      </xdr:nvSpPr>
      <xdr:spPr>
        <a:xfrm flipH="1">
          <a:off x="3895725" y="1619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381000</xdr:colOff>
      <xdr:row>10</xdr:row>
      <xdr:rowOff>142875</xdr:rowOff>
    </xdr:from>
    <xdr:to>
      <xdr:col>7</xdr:col>
      <xdr:colOff>114300</xdr:colOff>
      <xdr:row>11</xdr:row>
      <xdr:rowOff>142875</xdr:rowOff>
    </xdr:to>
    <xdr:sp>
      <xdr:nvSpPr>
        <xdr:cNvPr id="257" name="Line 257"/>
        <xdr:cNvSpPr>
          <a:spLocks/>
        </xdr:cNvSpPr>
      </xdr:nvSpPr>
      <xdr:spPr>
        <a:xfrm flipH="1">
          <a:off x="34194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8</xdr:row>
      <xdr:rowOff>123825</xdr:rowOff>
    </xdr:from>
    <xdr:to>
      <xdr:col>11</xdr:col>
      <xdr:colOff>114300</xdr:colOff>
      <xdr:row>9</xdr:row>
      <xdr:rowOff>123825</xdr:rowOff>
    </xdr:to>
    <xdr:sp>
      <xdr:nvSpPr>
        <xdr:cNvPr id="258" name="Line 258"/>
        <xdr:cNvSpPr>
          <a:spLocks/>
        </xdr:cNvSpPr>
      </xdr:nvSpPr>
      <xdr:spPr>
        <a:xfrm flipH="1">
          <a:off x="5362575" y="14192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361950</xdr:colOff>
      <xdr:row>9</xdr:row>
      <xdr:rowOff>142875</xdr:rowOff>
    </xdr:from>
    <xdr:to>
      <xdr:col>10</xdr:col>
      <xdr:colOff>95250</xdr:colOff>
      <xdr:row>10</xdr:row>
      <xdr:rowOff>142875</xdr:rowOff>
    </xdr:to>
    <xdr:sp>
      <xdr:nvSpPr>
        <xdr:cNvPr id="259" name="Line 259"/>
        <xdr:cNvSpPr>
          <a:spLocks/>
        </xdr:cNvSpPr>
      </xdr:nvSpPr>
      <xdr:spPr>
        <a:xfrm flipH="1">
          <a:off x="4857750" y="16002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361950</xdr:colOff>
      <xdr:row>10</xdr:row>
      <xdr:rowOff>142875</xdr:rowOff>
    </xdr:from>
    <xdr:to>
      <xdr:col>9</xdr:col>
      <xdr:colOff>95250</xdr:colOff>
      <xdr:row>11</xdr:row>
      <xdr:rowOff>142875</xdr:rowOff>
    </xdr:to>
    <xdr:sp>
      <xdr:nvSpPr>
        <xdr:cNvPr id="260" name="Line 260"/>
        <xdr:cNvSpPr>
          <a:spLocks/>
        </xdr:cNvSpPr>
      </xdr:nvSpPr>
      <xdr:spPr>
        <a:xfrm flipH="1">
          <a:off x="4371975" y="17621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342900</xdr:colOff>
      <xdr:row>11</xdr:row>
      <xdr:rowOff>114300</xdr:rowOff>
    </xdr:from>
    <xdr:to>
      <xdr:col>8</xdr:col>
      <xdr:colOff>76200</xdr:colOff>
      <xdr:row>12</xdr:row>
      <xdr:rowOff>114300</xdr:rowOff>
    </xdr:to>
    <xdr:sp>
      <xdr:nvSpPr>
        <xdr:cNvPr id="261" name="Line 261"/>
        <xdr:cNvSpPr>
          <a:spLocks/>
        </xdr:cNvSpPr>
      </xdr:nvSpPr>
      <xdr:spPr>
        <a:xfrm flipH="1">
          <a:off x="3867150" y="189547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10</xdr:row>
      <xdr:rowOff>133350</xdr:rowOff>
    </xdr:from>
    <xdr:to>
      <xdr:col>11</xdr:col>
      <xdr:colOff>85725</xdr:colOff>
      <xdr:row>11</xdr:row>
      <xdr:rowOff>133350</xdr:rowOff>
    </xdr:to>
    <xdr:sp>
      <xdr:nvSpPr>
        <xdr:cNvPr id="262" name="Line 262"/>
        <xdr:cNvSpPr>
          <a:spLocks/>
        </xdr:cNvSpPr>
      </xdr:nvSpPr>
      <xdr:spPr>
        <a:xfrm flipH="1">
          <a:off x="5334000" y="17526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11</xdr:row>
      <xdr:rowOff>133350</xdr:rowOff>
    </xdr:from>
    <xdr:to>
      <xdr:col>10</xdr:col>
      <xdr:colOff>85725</xdr:colOff>
      <xdr:row>12</xdr:row>
      <xdr:rowOff>133350</xdr:rowOff>
    </xdr:to>
    <xdr:sp>
      <xdr:nvSpPr>
        <xdr:cNvPr id="263" name="Line 263"/>
        <xdr:cNvSpPr>
          <a:spLocks/>
        </xdr:cNvSpPr>
      </xdr:nvSpPr>
      <xdr:spPr>
        <a:xfrm flipH="1">
          <a:off x="4848225" y="1914525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12</xdr:row>
      <xdr:rowOff>114300</xdr:rowOff>
    </xdr:from>
    <xdr:to>
      <xdr:col>9</xdr:col>
      <xdr:colOff>85725</xdr:colOff>
      <xdr:row>13</xdr:row>
      <xdr:rowOff>114300</xdr:rowOff>
    </xdr:to>
    <xdr:sp>
      <xdr:nvSpPr>
        <xdr:cNvPr id="264" name="#86"/>
        <xdr:cNvSpPr>
          <a:spLocks/>
        </xdr:cNvSpPr>
      </xdr:nvSpPr>
      <xdr:spPr>
        <a:xfrm flipH="1">
          <a:off x="4362450" y="20574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400050</xdr:colOff>
      <xdr:row>12</xdr:row>
      <xdr:rowOff>76200</xdr:rowOff>
    </xdr:from>
    <xdr:to>
      <xdr:col>11</xdr:col>
      <xdr:colOff>133350</xdr:colOff>
      <xdr:row>13</xdr:row>
      <xdr:rowOff>76200</xdr:rowOff>
    </xdr:to>
    <xdr:sp>
      <xdr:nvSpPr>
        <xdr:cNvPr id="265" name="Line 265"/>
        <xdr:cNvSpPr>
          <a:spLocks/>
        </xdr:cNvSpPr>
      </xdr:nvSpPr>
      <xdr:spPr>
        <a:xfrm flipH="1">
          <a:off x="5381625" y="20193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13</xdr:row>
      <xdr:rowOff>104775</xdr:rowOff>
    </xdr:from>
    <xdr:to>
      <xdr:col>10</xdr:col>
      <xdr:colOff>76200</xdr:colOff>
      <xdr:row>14</xdr:row>
      <xdr:rowOff>104775</xdr:rowOff>
    </xdr:to>
    <xdr:sp>
      <xdr:nvSpPr>
        <xdr:cNvPr id="266" name="Line 266"/>
        <xdr:cNvSpPr>
          <a:spLocks/>
        </xdr:cNvSpPr>
      </xdr:nvSpPr>
      <xdr:spPr>
        <a:xfrm flipH="1">
          <a:off x="4838700" y="220980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14</xdr:row>
      <xdr:rowOff>114300</xdr:rowOff>
    </xdr:from>
    <xdr:to>
      <xdr:col>11</xdr:col>
      <xdr:colOff>85725</xdr:colOff>
      <xdr:row>15</xdr:row>
      <xdr:rowOff>114300</xdr:rowOff>
    </xdr:to>
    <xdr:sp>
      <xdr:nvSpPr>
        <xdr:cNvPr id="267" name="Line 267"/>
        <xdr:cNvSpPr>
          <a:spLocks/>
        </xdr:cNvSpPr>
      </xdr:nvSpPr>
      <xdr:spPr>
        <a:xfrm flipH="1">
          <a:off x="5334000" y="2381250"/>
          <a:ext cx="2190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15</xdr:row>
      <xdr:rowOff>66675</xdr:rowOff>
    </xdr:from>
    <xdr:to>
      <xdr:col>3</xdr:col>
      <xdr:colOff>342900</xdr:colOff>
      <xdr:row>16</xdr:row>
      <xdr:rowOff>85725</xdr:rowOff>
    </xdr:to>
    <xdr:sp>
      <xdr:nvSpPr>
        <xdr:cNvPr id="268" name="Line 268"/>
        <xdr:cNvSpPr>
          <a:spLocks/>
        </xdr:cNvSpPr>
      </xdr:nvSpPr>
      <xdr:spPr>
        <a:xfrm flipV="1">
          <a:off x="1924050" y="24955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14</xdr:row>
      <xdr:rowOff>47625</xdr:rowOff>
    </xdr:from>
    <xdr:to>
      <xdr:col>4</xdr:col>
      <xdr:colOff>333375</xdr:colOff>
      <xdr:row>15</xdr:row>
      <xdr:rowOff>66675</xdr:rowOff>
    </xdr:to>
    <xdr:sp>
      <xdr:nvSpPr>
        <xdr:cNvPr id="269" name="Line 269"/>
        <xdr:cNvSpPr>
          <a:spLocks/>
        </xdr:cNvSpPr>
      </xdr:nvSpPr>
      <xdr:spPr>
        <a:xfrm flipV="1">
          <a:off x="2400300" y="2314575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333375</xdr:colOff>
      <xdr:row>13</xdr:row>
      <xdr:rowOff>47625</xdr:rowOff>
    </xdr:from>
    <xdr:to>
      <xdr:col>5</xdr:col>
      <xdr:colOff>333375</xdr:colOff>
      <xdr:row>14</xdr:row>
      <xdr:rowOff>66675</xdr:rowOff>
    </xdr:to>
    <xdr:sp>
      <xdr:nvSpPr>
        <xdr:cNvPr id="270" name="Line 270"/>
        <xdr:cNvSpPr>
          <a:spLocks/>
        </xdr:cNvSpPr>
      </xdr:nvSpPr>
      <xdr:spPr>
        <a:xfrm flipV="1">
          <a:off x="2886075" y="21526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2"/>
  <sheetViews>
    <sheetView zoomScale="75" zoomScaleNormal="75" workbookViewId="0" topLeftCell="A1">
      <pane ySplit="780" topLeftCell="BM169" activePane="bottomLeft" state="split"/>
      <selection pane="topLeft" activeCell="G138" sqref="G138"/>
      <selection pane="bottomLeft" activeCell="L182" sqref="L182"/>
    </sheetView>
  </sheetViews>
  <sheetFormatPr defaultColWidth="9.140625" defaultRowHeight="12.75"/>
  <cols>
    <col min="1" max="2" width="9.00390625" style="1" customWidth="1"/>
    <col min="3" max="3" width="6.140625" style="7" bestFit="1" customWidth="1"/>
    <col min="4" max="4" width="7.57421875" style="1" bestFit="1" customWidth="1"/>
    <col min="5" max="5" width="7.140625" style="1" bestFit="1" customWidth="1"/>
    <col min="6" max="6" width="8.421875" style="2" bestFit="1" customWidth="1"/>
    <col min="7" max="7" width="10.8515625" style="2" customWidth="1"/>
    <col min="8" max="8" width="8.7109375" style="2" customWidth="1"/>
    <col min="9" max="9" width="6.421875" style="2" customWidth="1"/>
    <col min="10" max="10" width="5.7109375" style="2" customWidth="1"/>
    <col min="11" max="11" width="6.140625" style="2" customWidth="1"/>
    <col min="12" max="12" width="8.57421875" style="2" bestFit="1" customWidth="1"/>
    <col min="13" max="13" width="10.00390625" style="2" bestFit="1" customWidth="1"/>
    <col min="14" max="14" width="9.140625" style="2" customWidth="1"/>
    <col min="15" max="17" width="6.140625" style="2" bestFit="1" customWidth="1"/>
    <col min="18" max="18" width="8.7109375" style="2" bestFit="1" customWidth="1"/>
    <col min="19" max="19" width="10.7109375" style="2" customWidth="1"/>
    <col min="20" max="20" width="9.00390625" style="2" customWidth="1"/>
    <col min="21" max="23" width="6.140625" style="2" bestFit="1" customWidth="1"/>
    <col min="24" max="24" width="8.57421875" style="2" bestFit="1" customWidth="1"/>
    <col min="25" max="25" width="10.57421875" style="2" customWidth="1"/>
    <col min="26" max="26" width="9.140625" style="2" customWidth="1"/>
    <col min="27" max="27" width="39.00390625" style="20" customWidth="1"/>
    <col min="28" max="28" width="11.140625" style="55" customWidth="1"/>
    <col min="29" max="29" width="12.140625" style="55" customWidth="1"/>
    <col min="30" max="30" width="10.140625" style="55" customWidth="1"/>
    <col min="31" max="34" width="7.57421875" style="55" bestFit="1" customWidth="1"/>
    <col min="35" max="35" width="11.421875" style="55" customWidth="1"/>
    <col min="36" max="16384" width="11.421875" style="0" customWidth="1"/>
  </cols>
  <sheetData>
    <row r="1" spans="1:26" ht="12.75">
      <c r="A1" s="3"/>
      <c r="B1" s="3"/>
      <c r="C1" s="77" t="s">
        <v>7</v>
      </c>
      <c r="D1" s="78"/>
      <c r="E1" s="78"/>
      <c r="F1" s="78"/>
      <c r="G1" s="78"/>
      <c r="H1" s="79"/>
      <c r="I1" s="80" t="s">
        <v>8</v>
      </c>
      <c r="J1" s="81"/>
      <c r="K1" s="81"/>
      <c r="L1" s="81"/>
      <c r="M1" s="81"/>
      <c r="N1" s="82"/>
      <c r="O1" s="80" t="s">
        <v>9</v>
      </c>
      <c r="P1" s="81"/>
      <c r="Q1" s="81"/>
      <c r="R1" s="81"/>
      <c r="S1" s="81"/>
      <c r="T1" s="82"/>
      <c r="U1" s="80" t="s">
        <v>12</v>
      </c>
      <c r="V1" s="81"/>
      <c r="W1" s="81"/>
      <c r="X1" s="81"/>
      <c r="Y1" s="81"/>
      <c r="Z1" s="82"/>
    </row>
    <row r="2" spans="1:37" ht="27" customHeight="1">
      <c r="A2" s="4" t="s">
        <v>5</v>
      </c>
      <c r="B2" s="4" t="s">
        <v>6</v>
      </c>
      <c r="C2" s="6">
        <v>1</v>
      </c>
      <c r="D2" s="4">
        <v>2</v>
      </c>
      <c r="E2" s="4">
        <v>3</v>
      </c>
      <c r="F2" s="5" t="s">
        <v>0</v>
      </c>
      <c r="G2" s="8" t="s">
        <v>2</v>
      </c>
      <c r="H2" s="9" t="s">
        <v>3</v>
      </c>
      <c r="I2" s="10">
        <v>1</v>
      </c>
      <c r="J2" s="11">
        <v>2</v>
      </c>
      <c r="K2" s="11">
        <v>3</v>
      </c>
      <c r="L2" s="12" t="s">
        <v>0</v>
      </c>
      <c r="M2" s="13" t="s">
        <v>2</v>
      </c>
      <c r="N2" s="14" t="s">
        <v>3</v>
      </c>
      <c r="O2" s="10">
        <v>1</v>
      </c>
      <c r="P2" s="11">
        <v>2</v>
      </c>
      <c r="Q2" s="11">
        <v>3</v>
      </c>
      <c r="R2" s="12" t="s">
        <v>0</v>
      </c>
      <c r="S2" s="13" t="s">
        <v>2</v>
      </c>
      <c r="T2" s="14" t="s">
        <v>3</v>
      </c>
      <c r="U2" s="10">
        <v>1</v>
      </c>
      <c r="V2" s="11">
        <v>2</v>
      </c>
      <c r="W2" s="11">
        <v>3</v>
      </c>
      <c r="X2" s="12" t="s">
        <v>0</v>
      </c>
      <c r="Y2" s="13" t="s">
        <v>2</v>
      </c>
      <c r="Z2" s="14" t="s">
        <v>3</v>
      </c>
      <c r="AA2" s="21" t="s">
        <v>1</v>
      </c>
      <c r="AB2" s="56" t="s">
        <v>10</v>
      </c>
      <c r="AC2" s="57" t="s">
        <v>11</v>
      </c>
      <c r="AD2" s="57" t="s">
        <v>4</v>
      </c>
      <c r="AE2" s="58" t="s">
        <v>13</v>
      </c>
      <c r="AF2" s="58" t="s">
        <v>14</v>
      </c>
      <c r="AG2" s="58" t="s">
        <v>15</v>
      </c>
      <c r="AH2" s="58" t="s">
        <v>16</v>
      </c>
      <c r="AI2" s="58" t="s">
        <v>20</v>
      </c>
      <c r="AJ2" s="37" t="s">
        <v>21</v>
      </c>
      <c r="AK2" s="37" t="s">
        <v>22</v>
      </c>
    </row>
    <row r="3" spans="1:37" ht="12.75" customHeight="1">
      <c r="A3" s="15">
        <v>37</v>
      </c>
      <c r="B3" s="16">
        <v>43</v>
      </c>
      <c r="C3" s="49">
        <v>0.003</v>
      </c>
      <c r="D3" s="39">
        <v>0.003</v>
      </c>
      <c r="E3" s="39">
        <v>0.002</v>
      </c>
      <c r="F3" s="39">
        <f aca="true" t="shared" si="0" ref="F3:F32">SUM(C3:E3)/3</f>
        <v>0.0026666666666666666</v>
      </c>
      <c r="G3" s="40"/>
      <c r="H3" s="41"/>
      <c r="I3" s="42"/>
      <c r="J3" s="40"/>
      <c r="K3" s="40"/>
      <c r="L3" s="39">
        <f aca="true" t="shared" si="1" ref="L3:L8">SUM(I3:K3)/3</f>
        <v>0</v>
      </c>
      <c r="M3" s="40"/>
      <c r="N3" s="41"/>
      <c r="O3" s="42"/>
      <c r="P3" s="40"/>
      <c r="Q3" s="40"/>
      <c r="R3" s="39">
        <f>SUM(O3:Q3)/3</f>
        <v>0</v>
      </c>
      <c r="S3" s="40"/>
      <c r="T3" s="41"/>
      <c r="U3" s="42"/>
      <c r="V3" s="40"/>
      <c r="W3" s="40"/>
      <c r="X3" s="39">
        <f>SUM(U3:W3)/3</f>
        <v>0</v>
      </c>
      <c r="Y3" s="40"/>
      <c r="Z3" s="41"/>
      <c r="AA3" s="74"/>
      <c r="AB3" s="59">
        <f>G4</f>
        <v>0.004666666666666667</v>
      </c>
      <c r="AC3" s="55">
        <f>H4+N4+T4</f>
        <v>0</v>
      </c>
      <c r="AD3" s="55">
        <f>IF(AK3,-AI3,AI3)</f>
        <v>0.004666666666666667</v>
      </c>
      <c r="AE3" s="55">
        <f>IF(G4=0,999,G4)</f>
        <v>0.004666666666666667</v>
      </c>
      <c r="AF3" s="55">
        <f>IF(M4=0,999,M4)</f>
        <v>999</v>
      </c>
      <c r="AG3" s="55">
        <f>IF(S4=0,999,S4)</f>
        <v>999</v>
      </c>
      <c r="AH3" s="55">
        <f>IF(Y4=0,999,Y4)</f>
        <v>999</v>
      </c>
      <c r="AI3" s="55">
        <f>MIN(ABS(AE3),ABS(AF3),ABS(AG3),ABS(AH3))</f>
        <v>0.004666666666666667</v>
      </c>
      <c r="AJ3">
        <f>MATCH(AI3,AE3:AH3,0)</f>
        <v>1</v>
      </c>
      <c r="AK3" t="b">
        <f>ISNA(AJ3)</f>
        <v>0</v>
      </c>
    </row>
    <row r="4" spans="1:28" ht="12.75" customHeight="1">
      <c r="A4" s="17">
        <v>43</v>
      </c>
      <c r="B4" s="18">
        <v>37</v>
      </c>
      <c r="C4" s="43">
        <v>-0.006</v>
      </c>
      <c r="D4" s="44">
        <v>-0.007</v>
      </c>
      <c r="E4" s="44">
        <v>-0.007</v>
      </c>
      <c r="F4" s="44">
        <f t="shared" si="0"/>
        <v>-0.006666666666666667</v>
      </c>
      <c r="G4" s="44">
        <f>(F3-F4)/2</f>
        <v>0.004666666666666667</v>
      </c>
      <c r="H4" s="45">
        <v>0</v>
      </c>
      <c r="I4" s="46"/>
      <c r="J4" s="47"/>
      <c r="K4" s="47"/>
      <c r="L4" s="44">
        <f t="shared" si="1"/>
        <v>0</v>
      </c>
      <c r="M4" s="44">
        <f>(L3-L4)/2</f>
        <v>0</v>
      </c>
      <c r="N4" s="45"/>
      <c r="O4" s="43"/>
      <c r="P4" s="44"/>
      <c r="Q4" s="44"/>
      <c r="R4" s="44">
        <f>SUM(O4:Q4)/3</f>
        <v>0</v>
      </c>
      <c r="S4" s="44">
        <f>(R3-R4)/2</f>
        <v>0</v>
      </c>
      <c r="T4" s="45"/>
      <c r="U4" s="43"/>
      <c r="V4" s="44"/>
      <c r="W4" s="44"/>
      <c r="X4" s="44">
        <f>SUM(U4:W4)/3</f>
        <v>0</v>
      </c>
      <c r="Y4" s="44">
        <f>(X3-X4)/2</f>
        <v>0</v>
      </c>
      <c r="Z4" s="45"/>
      <c r="AA4" s="75"/>
      <c r="AB4" s="59"/>
    </row>
    <row r="5" spans="1:37" ht="12.75" customHeight="1">
      <c r="A5" s="15">
        <v>32</v>
      </c>
      <c r="B5" s="16">
        <v>43</v>
      </c>
      <c r="C5" s="38">
        <v>-0.019</v>
      </c>
      <c r="D5" s="39">
        <v>-0.02</v>
      </c>
      <c r="E5" s="39">
        <v>-0.02</v>
      </c>
      <c r="F5" s="39">
        <f t="shared" si="0"/>
        <v>-0.019666666666666666</v>
      </c>
      <c r="G5" s="40"/>
      <c r="H5" s="41"/>
      <c r="I5" s="38">
        <v>-0.008</v>
      </c>
      <c r="J5" s="39">
        <v>-0.01</v>
      </c>
      <c r="K5" s="39">
        <v>-0.01</v>
      </c>
      <c r="L5" s="39">
        <f t="shared" si="1"/>
        <v>-0.009333333333333334</v>
      </c>
      <c r="M5" s="40"/>
      <c r="N5" s="41"/>
      <c r="O5" s="38"/>
      <c r="P5" s="39"/>
      <c r="Q5" s="39"/>
      <c r="R5" s="39">
        <f>SUM(O5:Q5)/3</f>
        <v>0</v>
      </c>
      <c r="S5" s="40"/>
      <c r="T5" s="41"/>
      <c r="U5" s="38"/>
      <c r="V5" s="39"/>
      <c r="W5" s="39"/>
      <c r="X5" s="39">
        <f>SUM(U5:W5)/3</f>
        <v>0</v>
      </c>
      <c r="Y5" s="40"/>
      <c r="Z5" s="41"/>
      <c r="AA5" s="83"/>
      <c r="AB5" s="59">
        <f>G6</f>
        <v>-0.014166666666666668</v>
      </c>
      <c r="AC5" s="55">
        <f aca="true" t="shared" si="2" ref="AC5:AC67">H6+N6+T6</f>
        <v>-0.014</v>
      </c>
      <c r="AD5" s="55">
        <f aca="true" t="shared" si="3" ref="AD5:AD67">IF(AK5,-AI5,AI5)</f>
        <v>-0.0016666666666666666</v>
      </c>
      <c r="AE5" s="55">
        <f>IF(G6=0,999,G6)</f>
        <v>-0.014166666666666668</v>
      </c>
      <c r="AF5" s="55">
        <f>IF(M6=0,999,M6)</f>
        <v>-0.0016666666666666666</v>
      </c>
      <c r="AG5" s="55">
        <f>IF(S6=0,999,S6)</f>
        <v>999</v>
      </c>
      <c r="AH5" s="55">
        <f>IF(Y6=0,999,Y6)</f>
        <v>999</v>
      </c>
      <c r="AI5" s="55">
        <f>MIN(ABS(AE5),ABS(AF5),ABS(AG5),ABS(AH5))</f>
        <v>0.0016666666666666666</v>
      </c>
      <c r="AJ5" t="e">
        <f>MATCH(AI5,AE5:AH5,0)</f>
        <v>#N/A</v>
      </c>
      <c r="AK5" t="b">
        <f>ISNA(AJ5)</f>
        <v>1</v>
      </c>
    </row>
    <row r="6" spans="1:28" ht="12.75" customHeight="1">
      <c r="A6" s="17">
        <v>43</v>
      </c>
      <c r="B6" s="18">
        <v>32</v>
      </c>
      <c r="C6" s="43">
        <v>0.01</v>
      </c>
      <c r="D6" s="44">
        <v>0.008</v>
      </c>
      <c r="E6" s="44">
        <v>0.008</v>
      </c>
      <c r="F6" s="44">
        <f t="shared" si="0"/>
        <v>0.008666666666666668</v>
      </c>
      <c r="G6" s="44">
        <f>(F5-F6)/2</f>
        <v>-0.014166666666666668</v>
      </c>
      <c r="H6" s="45">
        <v>-0.014</v>
      </c>
      <c r="I6" s="43">
        <v>-0.006</v>
      </c>
      <c r="J6" s="44">
        <v>-0.006</v>
      </c>
      <c r="K6" s="44">
        <v>-0.006</v>
      </c>
      <c r="L6" s="44">
        <f t="shared" si="1"/>
        <v>-0.006000000000000001</v>
      </c>
      <c r="M6" s="44">
        <f>(L5-L6)/2</f>
        <v>-0.0016666666666666666</v>
      </c>
      <c r="N6" s="45"/>
      <c r="O6" s="43"/>
      <c r="P6" s="44"/>
      <c r="Q6" s="44"/>
      <c r="R6" s="44">
        <f>SUM(O6:Q6)/3</f>
        <v>0</v>
      </c>
      <c r="S6" s="44">
        <f>(R5-R6)/2</f>
        <v>0</v>
      </c>
      <c r="T6" s="45"/>
      <c r="U6" s="43"/>
      <c r="V6" s="44"/>
      <c r="W6" s="44"/>
      <c r="X6" s="44">
        <f>SUM(U6:W6)/3</f>
        <v>0</v>
      </c>
      <c r="Y6" s="44">
        <f>(X5-X6)/2</f>
        <v>0</v>
      </c>
      <c r="Z6" s="45">
        <v>-0.02</v>
      </c>
      <c r="AA6" s="84"/>
      <c r="AB6" s="59"/>
    </row>
    <row r="7" spans="1:37" ht="12.75" customHeight="1">
      <c r="A7" s="15">
        <v>38</v>
      </c>
      <c r="B7" s="16">
        <v>43</v>
      </c>
      <c r="C7" s="38">
        <v>-0.024</v>
      </c>
      <c r="D7" s="39">
        <v>-0.024</v>
      </c>
      <c r="E7" s="39">
        <v>-0.024</v>
      </c>
      <c r="F7" s="39">
        <f t="shared" si="0"/>
        <v>-0.024000000000000004</v>
      </c>
      <c r="G7" s="40"/>
      <c r="H7" s="41"/>
      <c r="I7" s="42">
        <v>-0.005</v>
      </c>
      <c r="J7" s="40">
        <v>-0.005</v>
      </c>
      <c r="K7" s="40">
        <v>-0.005</v>
      </c>
      <c r="L7" s="39">
        <f t="shared" si="1"/>
        <v>-0.005</v>
      </c>
      <c r="M7" s="40"/>
      <c r="N7" s="41"/>
      <c r="O7" s="42"/>
      <c r="P7" s="40"/>
      <c r="Q7" s="40"/>
      <c r="R7" s="39">
        <f aca="true" t="shared" si="4" ref="R7:R12">SUM(O7:Q7)/3</f>
        <v>0</v>
      </c>
      <c r="S7" s="40"/>
      <c r="T7" s="41"/>
      <c r="U7" s="42"/>
      <c r="V7" s="40"/>
      <c r="W7" s="40"/>
      <c r="X7" s="39">
        <f aca="true" t="shared" si="5" ref="X7:X12">SUM(U7:W7)/3</f>
        <v>0</v>
      </c>
      <c r="Y7" s="40"/>
      <c r="Z7" s="41"/>
      <c r="AA7" s="74"/>
      <c r="AB7" s="59">
        <f>G8</f>
        <v>-0.013500000000000002</v>
      </c>
      <c r="AC7" s="55">
        <f t="shared" si="2"/>
        <v>-0.014</v>
      </c>
      <c r="AD7" s="55">
        <f t="shared" si="3"/>
        <v>-0.013500000000000002</v>
      </c>
      <c r="AE7" s="55">
        <f>IF(G8=0,999,G8)</f>
        <v>-0.013500000000000002</v>
      </c>
      <c r="AF7" s="55">
        <f>IF(M8=0,999,M8)</f>
        <v>999</v>
      </c>
      <c r="AG7" s="55">
        <f>IF(S8=0,999,S8)</f>
        <v>999</v>
      </c>
      <c r="AH7" s="55">
        <f>IF(Y8=0,999,Y8)</f>
        <v>999</v>
      </c>
      <c r="AI7" s="55">
        <f>MIN(ABS(AE7),ABS(AF7),ABS(AG7),ABS(AH7))</f>
        <v>0.013500000000000002</v>
      </c>
      <c r="AJ7" t="e">
        <f>MATCH(AI7,AE7:AH7,0)</f>
        <v>#N/A</v>
      </c>
      <c r="AK7" t="b">
        <f>ISNA(AJ7)</f>
        <v>1</v>
      </c>
    </row>
    <row r="8" spans="1:28" ht="12.75" customHeight="1">
      <c r="A8" s="17">
        <v>43</v>
      </c>
      <c r="B8" s="18">
        <v>38</v>
      </c>
      <c r="C8" s="43">
        <v>0.003</v>
      </c>
      <c r="D8" s="44">
        <v>0.003</v>
      </c>
      <c r="E8" s="44">
        <v>0.003</v>
      </c>
      <c r="F8" s="44">
        <f t="shared" si="0"/>
        <v>0.0030000000000000005</v>
      </c>
      <c r="G8" s="44">
        <f>(F7-F8)/2</f>
        <v>-0.013500000000000002</v>
      </c>
      <c r="H8" s="45">
        <v>-0.014</v>
      </c>
      <c r="I8" s="43">
        <v>-0.005</v>
      </c>
      <c r="J8" s="44">
        <v>-0.005</v>
      </c>
      <c r="K8" s="44">
        <v>-0.005</v>
      </c>
      <c r="L8" s="44">
        <f t="shared" si="1"/>
        <v>-0.005</v>
      </c>
      <c r="M8" s="44">
        <f>(L7-L8)/2</f>
        <v>0</v>
      </c>
      <c r="N8" s="45"/>
      <c r="O8" s="43"/>
      <c r="P8" s="44"/>
      <c r="Q8" s="44"/>
      <c r="R8" s="44">
        <f t="shared" si="4"/>
        <v>0</v>
      </c>
      <c r="S8" s="44">
        <f>(R7-R8)/2</f>
        <v>0</v>
      </c>
      <c r="T8" s="45"/>
      <c r="U8" s="43"/>
      <c r="V8" s="44"/>
      <c r="W8" s="44"/>
      <c r="X8" s="44">
        <f t="shared" si="5"/>
        <v>0</v>
      </c>
      <c r="Y8" s="44">
        <f>(X7-X8)/2</f>
        <v>0</v>
      </c>
      <c r="Z8" s="45"/>
      <c r="AA8" s="75"/>
      <c r="AB8" s="59"/>
    </row>
    <row r="9" spans="1:37" ht="12.75" customHeight="1">
      <c r="A9" s="15">
        <v>49</v>
      </c>
      <c r="B9" s="16">
        <v>43</v>
      </c>
      <c r="C9" s="51">
        <v>-0.049</v>
      </c>
      <c r="D9" s="39">
        <v>-0.049</v>
      </c>
      <c r="E9" s="39">
        <v>-0.049</v>
      </c>
      <c r="F9" s="39">
        <f t="shared" si="0"/>
        <v>-0.04900000000000001</v>
      </c>
      <c r="G9" s="40"/>
      <c r="H9" s="41"/>
      <c r="I9" s="38">
        <v>-0.01</v>
      </c>
      <c r="J9" s="39">
        <v>-0.01</v>
      </c>
      <c r="K9" s="39">
        <v>-0.01</v>
      </c>
      <c r="L9" s="39">
        <f aca="true" t="shared" si="6" ref="L9:L40">SUM(I9:K9)/3</f>
        <v>-0.01</v>
      </c>
      <c r="M9" s="40"/>
      <c r="N9" s="41"/>
      <c r="O9" s="42"/>
      <c r="P9" s="40"/>
      <c r="Q9" s="40"/>
      <c r="R9" s="39">
        <f t="shared" si="4"/>
        <v>0</v>
      </c>
      <c r="S9" s="40"/>
      <c r="T9" s="41"/>
      <c r="U9" s="42"/>
      <c r="V9" s="40"/>
      <c r="W9" s="40"/>
      <c r="X9" s="39">
        <f t="shared" si="5"/>
        <v>0</v>
      </c>
      <c r="Y9" s="40"/>
      <c r="Z9" s="41"/>
      <c r="AA9" s="74"/>
      <c r="AB9" s="59">
        <f>G10</f>
        <v>-0.0425</v>
      </c>
      <c r="AC9" s="55">
        <f t="shared" si="2"/>
        <v>-0.043</v>
      </c>
      <c r="AD9" s="55">
        <f t="shared" si="3"/>
        <v>-0.0023333333333333335</v>
      </c>
      <c r="AE9" s="55">
        <f>IF(G10=0,999,G10)</f>
        <v>-0.0425</v>
      </c>
      <c r="AF9" s="55">
        <f>IF(M10=0,999,M10)</f>
        <v>-0.0023333333333333335</v>
      </c>
      <c r="AG9" s="55">
        <f>IF(S10=0,999,S10)</f>
        <v>999</v>
      </c>
      <c r="AH9" s="55">
        <f>IF(Y10=0,999,Y10)</f>
        <v>999</v>
      </c>
      <c r="AI9" s="55">
        <f>MIN(ABS(AE9),ABS(AF9),ABS(AG9),ABS(AH9))</f>
        <v>0.0023333333333333335</v>
      </c>
      <c r="AJ9" t="e">
        <f>MATCH(AI9,AE9:AH9,0)</f>
        <v>#N/A</v>
      </c>
      <c r="AK9" t="b">
        <f>ISNA(AJ9)</f>
        <v>1</v>
      </c>
    </row>
    <row r="10" spans="1:28" ht="12.75" customHeight="1">
      <c r="A10" s="17">
        <v>43</v>
      </c>
      <c r="B10" s="18">
        <v>49</v>
      </c>
      <c r="C10" s="43">
        <v>0.036</v>
      </c>
      <c r="D10" s="44">
        <v>0.036</v>
      </c>
      <c r="E10" s="44">
        <v>0.036</v>
      </c>
      <c r="F10" s="44">
        <f t="shared" si="0"/>
        <v>0.036</v>
      </c>
      <c r="G10" s="44">
        <f>(F9-F10)/2</f>
        <v>-0.0425</v>
      </c>
      <c r="H10" s="45">
        <v>-0.043</v>
      </c>
      <c r="I10" s="43">
        <v>-0.005</v>
      </c>
      <c r="J10" s="44">
        <v>-0.006</v>
      </c>
      <c r="K10" s="44">
        <v>-0.005</v>
      </c>
      <c r="L10" s="44">
        <f t="shared" si="6"/>
        <v>-0.005333333333333333</v>
      </c>
      <c r="M10" s="44">
        <f>(L9-L10)/2</f>
        <v>-0.0023333333333333335</v>
      </c>
      <c r="N10" s="45"/>
      <c r="O10" s="43"/>
      <c r="P10" s="44"/>
      <c r="Q10" s="44"/>
      <c r="R10" s="44">
        <f t="shared" si="4"/>
        <v>0</v>
      </c>
      <c r="S10" s="44">
        <f>(R9-R10)/2</f>
        <v>0</v>
      </c>
      <c r="T10" s="45"/>
      <c r="U10" s="43"/>
      <c r="V10" s="44"/>
      <c r="W10" s="44"/>
      <c r="X10" s="44">
        <f t="shared" si="5"/>
        <v>0</v>
      </c>
      <c r="Y10" s="44">
        <f>(X9-X10)/2</f>
        <v>0</v>
      </c>
      <c r="Z10" s="45"/>
      <c r="AA10" s="75"/>
      <c r="AB10" s="59"/>
    </row>
    <row r="11" spans="1:37" ht="12.75" customHeight="1">
      <c r="A11" s="15">
        <v>54</v>
      </c>
      <c r="B11" s="16">
        <v>43</v>
      </c>
      <c r="C11" s="51">
        <v>-0.044</v>
      </c>
      <c r="D11" s="39">
        <v>-0.045</v>
      </c>
      <c r="E11" s="39">
        <v>-0.045</v>
      </c>
      <c r="F11" s="39">
        <f t="shared" si="0"/>
        <v>-0.04466666666666667</v>
      </c>
      <c r="G11" s="40"/>
      <c r="H11" s="41"/>
      <c r="I11" s="38">
        <v>-0.003</v>
      </c>
      <c r="J11" s="39">
        <v>-0.003</v>
      </c>
      <c r="K11" s="39">
        <v>-0.003</v>
      </c>
      <c r="L11" s="39">
        <f t="shared" si="6"/>
        <v>-0.0030000000000000005</v>
      </c>
      <c r="M11" s="40"/>
      <c r="N11" s="41"/>
      <c r="O11" s="42"/>
      <c r="P11" s="40"/>
      <c r="Q11" s="40"/>
      <c r="R11" s="39">
        <f t="shared" si="4"/>
        <v>0</v>
      </c>
      <c r="S11" s="40"/>
      <c r="T11" s="41"/>
      <c r="U11" s="42"/>
      <c r="V11" s="40"/>
      <c r="W11" s="40"/>
      <c r="X11" s="39">
        <f t="shared" si="5"/>
        <v>0</v>
      </c>
      <c r="Y11" s="40"/>
      <c r="Z11" s="41"/>
      <c r="AA11" s="74"/>
      <c r="AB11" s="59">
        <f>G12</f>
        <v>-0.0395</v>
      </c>
      <c r="AC11" s="55">
        <f t="shared" si="2"/>
        <v>-0.04</v>
      </c>
      <c r="AD11" s="55">
        <f t="shared" si="3"/>
        <v>-0.0395</v>
      </c>
      <c r="AE11" s="55">
        <f>IF(G12=0,999,G12)</f>
        <v>-0.0395</v>
      </c>
      <c r="AF11" s="55">
        <f>IF(M12=0,999,M12)</f>
        <v>999</v>
      </c>
      <c r="AG11" s="55">
        <f>IF(S12=0,999,S12)</f>
        <v>999</v>
      </c>
      <c r="AH11" s="55">
        <f>IF(Y12=0,999,Y12)</f>
        <v>999</v>
      </c>
      <c r="AI11" s="55">
        <f>MIN(ABS(AE11),ABS(AF11),ABS(AG11),ABS(AH11))</f>
        <v>0.0395</v>
      </c>
      <c r="AJ11" t="e">
        <f>MATCH(AI11,AE11:AH11,0)</f>
        <v>#N/A</v>
      </c>
      <c r="AK11" t="b">
        <f>ISNA(AJ11)</f>
        <v>1</v>
      </c>
    </row>
    <row r="12" spans="1:28" ht="12.75" customHeight="1">
      <c r="A12" s="17">
        <v>43</v>
      </c>
      <c r="B12" s="18">
        <v>54</v>
      </c>
      <c r="C12" s="43">
        <v>0.035</v>
      </c>
      <c r="D12" s="50">
        <v>0.034</v>
      </c>
      <c r="E12" s="44">
        <v>0.034</v>
      </c>
      <c r="F12" s="44">
        <f t="shared" si="0"/>
        <v>0.034333333333333334</v>
      </c>
      <c r="G12" s="44">
        <f>(F11-F12)/2</f>
        <v>-0.0395</v>
      </c>
      <c r="H12" s="45">
        <v>-0.04</v>
      </c>
      <c r="I12" s="43">
        <v>-0.003</v>
      </c>
      <c r="J12" s="44">
        <v>-0.003</v>
      </c>
      <c r="K12" s="44">
        <v>-0.003</v>
      </c>
      <c r="L12" s="44">
        <f t="shared" si="6"/>
        <v>-0.0030000000000000005</v>
      </c>
      <c r="M12" s="44">
        <f>(L11-L12)/2</f>
        <v>0</v>
      </c>
      <c r="N12" s="45"/>
      <c r="O12" s="43"/>
      <c r="P12" s="44"/>
      <c r="Q12" s="44"/>
      <c r="R12" s="44">
        <f t="shared" si="4"/>
        <v>0</v>
      </c>
      <c r="S12" s="44">
        <f>(R11-R12)/2</f>
        <v>0</v>
      </c>
      <c r="T12" s="45"/>
      <c r="U12" s="43"/>
      <c r="V12" s="44"/>
      <c r="W12" s="44"/>
      <c r="X12" s="44">
        <f t="shared" si="5"/>
        <v>0</v>
      </c>
      <c r="Y12" s="44">
        <f>(X11-X12)/2</f>
        <v>0</v>
      </c>
      <c r="Z12" s="45"/>
      <c r="AA12" s="75"/>
      <c r="AB12" s="59"/>
    </row>
    <row r="13" spans="1:37" ht="12.75" customHeight="1">
      <c r="A13" s="15">
        <v>48</v>
      </c>
      <c r="B13" s="16">
        <v>43</v>
      </c>
      <c r="C13" s="51">
        <v>-0.03</v>
      </c>
      <c r="D13" s="39">
        <v>-0.03</v>
      </c>
      <c r="E13" s="39">
        <v>-0.031</v>
      </c>
      <c r="F13" s="39">
        <f t="shared" si="0"/>
        <v>-0.030333333333333334</v>
      </c>
      <c r="G13" s="40"/>
      <c r="H13" s="41"/>
      <c r="I13" s="38">
        <v>-0.015</v>
      </c>
      <c r="J13" s="39">
        <v>-0.015</v>
      </c>
      <c r="K13" s="39">
        <v>-0.015</v>
      </c>
      <c r="L13" s="39">
        <f t="shared" si="6"/>
        <v>-0.015</v>
      </c>
      <c r="M13" s="40"/>
      <c r="N13" s="41"/>
      <c r="O13" s="38"/>
      <c r="P13" s="39"/>
      <c r="Q13" s="39"/>
      <c r="R13" s="39">
        <f>SUM(O13:Q13)/3</f>
        <v>0</v>
      </c>
      <c r="S13" s="40"/>
      <c r="T13" s="41"/>
      <c r="U13" s="38"/>
      <c r="V13" s="39"/>
      <c r="W13" s="39"/>
      <c r="X13" s="39">
        <f>SUM(U13:W13)/3</f>
        <v>0</v>
      </c>
      <c r="Y13" s="40"/>
      <c r="Z13" s="41"/>
      <c r="AA13" s="74"/>
      <c r="AB13" s="59">
        <f>G14</f>
        <v>-0.011166666666666667</v>
      </c>
      <c r="AC13" s="55">
        <f t="shared" si="2"/>
        <v>-0.011</v>
      </c>
      <c r="AD13" s="55">
        <f t="shared" si="3"/>
        <v>-0.004</v>
      </c>
      <c r="AE13" s="55">
        <f>IF(G14=0,999,G14)</f>
        <v>-0.011166666666666667</v>
      </c>
      <c r="AF13" s="55">
        <f>IF(M14=0,999,M14)</f>
        <v>-0.004</v>
      </c>
      <c r="AG13" s="55">
        <f>IF(S14=0,999,S14)</f>
        <v>999</v>
      </c>
      <c r="AH13" s="55">
        <f>IF(Y14=0,999,Y14)</f>
        <v>999</v>
      </c>
      <c r="AI13" s="55">
        <f>MIN(ABS(AE13),ABS(AF13),ABS(AG13),ABS(AH13))</f>
        <v>0.004</v>
      </c>
      <c r="AJ13" t="e">
        <f>MATCH(AI13,AE13:AH13,0)</f>
        <v>#N/A</v>
      </c>
      <c r="AK13" t="b">
        <f>ISNA(AJ13)</f>
        <v>1</v>
      </c>
    </row>
    <row r="14" spans="1:28" ht="12.75" customHeight="1">
      <c r="A14" s="17">
        <v>43</v>
      </c>
      <c r="B14" s="18">
        <v>48</v>
      </c>
      <c r="C14" s="43">
        <v>-0.008</v>
      </c>
      <c r="D14" s="44">
        <v>-0.008</v>
      </c>
      <c r="E14" s="44">
        <v>-0.008</v>
      </c>
      <c r="F14" s="44">
        <f t="shared" si="0"/>
        <v>-0.008</v>
      </c>
      <c r="G14" s="44">
        <f>(F13-F14)/2</f>
        <v>-0.011166666666666667</v>
      </c>
      <c r="H14" s="45">
        <v>-0.011</v>
      </c>
      <c r="I14" s="43">
        <v>-0.007</v>
      </c>
      <c r="J14" s="44">
        <v>-0.007</v>
      </c>
      <c r="K14" s="44">
        <v>-0.007</v>
      </c>
      <c r="L14" s="44">
        <f t="shared" si="6"/>
        <v>-0.007</v>
      </c>
      <c r="M14" s="44">
        <f>(L13-L14)/2</f>
        <v>-0.004</v>
      </c>
      <c r="N14" s="45"/>
      <c r="O14" s="43"/>
      <c r="P14" s="44"/>
      <c r="Q14" s="44"/>
      <c r="R14" s="44">
        <f>SUM(O14:Q14)/3</f>
        <v>0</v>
      </c>
      <c r="S14" s="44">
        <f>(R13-R14)/2</f>
        <v>0</v>
      </c>
      <c r="T14" s="45"/>
      <c r="U14" s="43"/>
      <c r="V14" s="44"/>
      <c r="W14" s="44"/>
      <c r="X14" s="44">
        <f>SUM(U14:W14)/3</f>
        <v>0</v>
      </c>
      <c r="Y14" s="44">
        <f>(X13-X14)/2</f>
        <v>0</v>
      </c>
      <c r="Z14" s="45"/>
      <c r="AA14" s="75"/>
      <c r="AB14" s="59"/>
    </row>
    <row r="15" spans="1:37" ht="12.75" customHeight="1">
      <c r="A15" s="15">
        <v>53</v>
      </c>
      <c r="B15" s="16">
        <v>48</v>
      </c>
      <c r="C15" s="38">
        <v>-0.01</v>
      </c>
      <c r="D15" s="39">
        <v>-0.01</v>
      </c>
      <c r="E15" s="39">
        <v>-0.01</v>
      </c>
      <c r="F15" s="39">
        <f t="shared" si="0"/>
        <v>-0.01</v>
      </c>
      <c r="G15" s="40"/>
      <c r="H15" s="41"/>
      <c r="I15" s="38"/>
      <c r="J15" s="39"/>
      <c r="K15" s="39"/>
      <c r="L15" s="39">
        <f t="shared" si="6"/>
        <v>0</v>
      </c>
      <c r="M15" s="40"/>
      <c r="N15" s="41"/>
      <c r="O15" s="42"/>
      <c r="P15" s="40"/>
      <c r="Q15" s="40"/>
      <c r="R15" s="39">
        <f aca="true" t="shared" si="7" ref="R15:R22">SUM(O15:Q15)/3</f>
        <v>0</v>
      </c>
      <c r="S15" s="40"/>
      <c r="T15" s="41"/>
      <c r="U15" s="42"/>
      <c r="V15" s="40"/>
      <c r="W15" s="40"/>
      <c r="X15" s="39">
        <f aca="true" t="shared" si="8" ref="X15:X22">SUM(U15:W15)/3</f>
        <v>0</v>
      </c>
      <c r="Y15" s="40"/>
      <c r="Z15" s="41"/>
      <c r="AA15" s="74"/>
      <c r="AB15" s="59">
        <f>G16</f>
        <v>-0.009000000000000001</v>
      </c>
      <c r="AC15" s="55">
        <f t="shared" si="2"/>
        <v>0</v>
      </c>
      <c r="AD15" s="55">
        <f t="shared" si="3"/>
        <v>-0.009000000000000001</v>
      </c>
      <c r="AE15" s="55">
        <f>IF(G16=0,999,G16)</f>
        <v>-0.009000000000000001</v>
      </c>
      <c r="AF15" s="55">
        <f>IF(M16=0,999,M16)</f>
        <v>999</v>
      </c>
      <c r="AG15" s="55">
        <f>IF(S16=0,999,S16)</f>
        <v>999</v>
      </c>
      <c r="AH15" s="55">
        <f>IF(Y16=0,999,Y16)</f>
        <v>999</v>
      </c>
      <c r="AI15" s="55">
        <f>MIN(ABS(AE15),ABS(AF15),ABS(AG15),ABS(AH15))</f>
        <v>0.009000000000000001</v>
      </c>
      <c r="AJ15" t="e">
        <f>MATCH(AI15,AE15:AH15,0)</f>
        <v>#N/A</v>
      </c>
      <c r="AK15" t="b">
        <f>ISNA(AJ15)</f>
        <v>1</v>
      </c>
    </row>
    <row r="16" spans="1:28" ht="12.75" customHeight="1">
      <c r="A16" s="17">
        <v>48</v>
      </c>
      <c r="B16" s="18">
        <v>53</v>
      </c>
      <c r="C16" s="43">
        <v>0.008</v>
      </c>
      <c r="D16" s="44">
        <v>0.008</v>
      </c>
      <c r="E16" s="44">
        <v>0.008</v>
      </c>
      <c r="F16" s="44">
        <f t="shared" si="0"/>
        <v>0.008</v>
      </c>
      <c r="G16" s="44">
        <f>(F15-F16)/2</f>
        <v>-0.009000000000000001</v>
      </c>
      <c r="H16" s="45"/>
      <c r="I16" s="43"/>
      <c r="J16" s="44"/>
      <c r="K16" s="44"/>
      <c r="L16" s="44">
        <f t="shared" si="6"/>
        <v>0</v>
      </c>
      <c r="M16" s="44">
        <f>(L15-L16)/2</f>
        <v>0</v>
      </c>
      <c r="N16" s="45"/>
      <c r="O16" s="43"/>
      <c r="P16" s="44"/>
      <c r="Q16" s="44"/>
      <c r="R16" s="44">
        <f t="shared" si="7"/>
        <v>0</v>
      </c>
      <c r="S16" s="44">
        <f>(R15-R16)/2</f>
        <v>0</v>
      </c>
      <c r="T16" s="45"/>
      <c r="U16" s="43"/>
      <c r="V16" s="44"/>
      <c r="W16" s="44"/>
      <c r="X16" s="44">
        <f t="shared" si="8"/>
        <v>0</v>
      </c>
      <c r="Y16" s="44">
        <f>(X15-X16)/2</f>
        <v>0</v>
      </c>
      <c r="Z16" s="45"/>
      <c r="AA16" s="75"/>
      <c r="AB16" s="59"/>
    </row>
    <row r="17" spans="1:37" ht="12.75" customHeight="1">
      <c r="A17" s="15">
        <v>59</v>
      </c>
      <c r="B17" s="16">
        <v>48</v>
      </c>
      <c r="C17" s="38">
        <v>-0.057</v>
      </c>
      <c r="D17" s="53">
        <v>-0.057</v>
      </c>
      <c r="E17" s="39">
        <v>-0.057</v>
      </c>
      <c r="F17" s="39">
        <f t="shared" si="0"/>
        <v>-0.057</v>
      </c>
      <c r="G17" s="40"/>
      <c r="H17" s="41"/>
      <c r="I17" s="38">
        <v>-0.008</v>
      </c>
      <c r="J17" s="39">
        <v>-0.008</v>
      </c>
      <c r="K17" s="39">
        <v>-0.008</v>
      </c>
      <c r="L17" s="53">
        <f t="shared" si="6"/>
        <v>-0.008</v>
      </c>
      <c r="M17" s="40"/>
      <c r="N17" s="41"/>
      <c r="O17" s="42"/>
      <c r="P17" s="40"/>
      <c r="Q17" s="40"/>
      <c r="R17" s="39">
        <f t="shared" si="7"/>
        <v>0</v>
      </c>
      <c r="S17" s="40"/>
      <c r="T17" s="41"/>
      <c r="U17" s="42"/>
      <c r="V17" s="42"/>
      <c r="W17" s="42"/>
      <c r="X17" s="39">
        <f t="shared" si="8"/>
        <v>0</v>
      </c>
      <c r="Y17" s="40"/>
      <c r="Z17" s="41"/>
      <c r="AA17" s="74"/>
      <c r="AB17" s="59">
        <f aca="true" t="shared" si="9" ref="AB17:AB81">G18</f>
        <v>-0.053000000000000005</v>
      </c>
      <c r="AC17" s="55">
        <f t="shared" si="2"/>
        <v>-0.053</v>
      </c>
      <c r="AD17" s="55">
        <f t="shared" si="3"/>
        <v>-0.0035</v>
      </c>
      <c r="AE17" s="55">
        <f>IF(G18=0,999,G18)</f>
        <v>-0.053000000000000005</v>
      </c>
      <c r="AF17" s="55">
        <f>IF(M18=0,999,M18)</f>
        <v>-0.0035</v>
      </c>
      <c r="AG17" s="55">
        <f>IF(S18=0,999,S18)</f>
        <v>999</v>
      </c>
      <c r="AH17" s="55">
        <f>IF(Y18=0,999,Y18)</f>
        <v>999</v>
      </c>
      <c r="AI17" s="55">
        <f>MIN(ABS(AE17),ABS(AF17),ABS(AG17),ABS(AH17))</f>
        <v>0.0035</v>
      </c>
      <c r="AJ17" t="e">
        <f>MATCH(AI17,AE17:AH17,0)</f>
        <v>#N/A</v>
      </c>
      <c r="AK17" t="b">
        <f>ISNA(AJ17)</f>
        <v>1</v>
      </c>
    </row>
    <row r="18" spans="1:28" ht="12.75" customHeight="1">
      <c r="A18" s="17">
        <v>48</v>
      </c>
      <c r="B18" s="18">
        <v>59</v>
      </c>
      <c r="C18" s="43">
        <v>0.049</v>
      </c>
      <c r="D18" s="44">
        <v>0.049</v>
      </c>
      <c r="E18" s="44">
        <v>0.049</v>
      </c>
      <c r="F18" s="44">
        <f t="shared" si="0"/>
        <v>0.04900000000000001</v>
      </c>
      <c r="G18" s="44">
        <f>(F17-F18)/2</f>
        <v>-0.053000000000000005</v>
      </c>
      <c r="H18" s="45">
        <v>-0.053</v>
      </c>
      <c r="I18" s="43">
        <v>-0.001</v>
      </c>
      <c r="J18" s="44">
        <v>-0.001</v>
      </c>
      <c r="K18" s="44">
        <v>-0.001</v>
      </c>
      <c r="L18" s="44">
        <f t="shared" si="6"/>
        <v>-0.001</v>
      </c>
      <c r="M18" s="44">
        <f>(L17-L18)/2</f>
        <v>-0.0035</v>
      </c>
      <c r="N18" s="45"/>
      <c r="O18" s="43"/>
      <c r="P18" s="44"/>
      <c r="Q18" s="44"/>
      <c r="R18" s="44">
        <f t="shared" si="7"/>
        <v>0</v>
      </c>
      <c r="S18" s="44">
        <f>(R17-R18)/2</f>
        <v>0</v>
      </c>
      <c r="T18" s="45"/>
      <c r="U18" s="43"/>
      <c r="V18" s="43"/>
      <c r="W18" s="43"/>
      <c r="X18" s="44">
        <f t="shared" si="8"/>
        <v>0</v>
      </c>
      <c r="Y18" s="44">
        <f>(X17-X18)/2</f>
        <v>0</v>
      </c>
      <c r="Z18" s="45"/>
      <c r="AA18" s="75"/>
      <c r="AB18" s="59"/>
    </row>
    <row r="19" spans="1:37" ht="12.75" customHeight="1">
      <c r="A19" s="15">
        <v>58</v>
      </c>
      <c r="B19" s="16">
        <v>53</v>
      </c>
      <c r="C19" s="38">
        <v>-0.01</v>
      </c>
      <c r="D19" s="39">
        <v>-0.01</v>
      </c>
      <c r="E19" s="39">
        <v>-0.01</v>
      </c>
      <c r="F19" s="39">
        <f t="shared" si="0"/>
        <v>-0.01</v>
      </c>
      <c r="G19" s="40"/>
      <c r="H19" s="41"/>
      <c r="I19" s="38">
        <v>0.002</v>
      </c>
      <c r="J19" s="39">
        <v>0.002</v>
      </c>
      <c r="K19" s="39">
        <v>0.002</v>
      </c>
      <c r="L19" s="39">
        <f t="shared" si="6"/>
        <v>0.002</v>
      </c>
      <c r="M19" s="40"/>
      <c r="N19" s="41"/>
      <c r="O19" s="42"/>
      <c r="P19" s="40"/>
      <c r="Q19" s="40"/>
      <c r="R19" s="39">
        <f t="shared" si="7"/>
        <v>0</v>
      </c>
      <c r="S19" s="40"/>
      <c r="T19" s="41"/>
      <c r="U19" s="42"/>
      <c r="V19" s="40"/>
      <c r="W19" s="40"/>
      <c r="X19" s="39">
        <f t="shared" si="8"/>
        <v>0</v>
      </c>
      <c r="Y19" s="40"/>
      <c r="Z19" s="41"/>
      <c r="AA19" s="74"/>
      <c r="AB19" s="59">
        <f t="shared" si="9"/>
        <v>-0.0115</v>
      </c>
      <c r="AC19" s="55">
        <f t="shared" si="2"/>
        <v>-0.012</v>
      </c>
      <c r="AD19" s="55">
        <f t="shared" si="3"/>
        <v>0.002333333333333333</v>
      </c>
      <c r="AE19" s="55">
        <f>IF(G20=0,999,G20)</f>
        <v>-0.0115</v>
      </c>
      <c r="AF19" s="55">
        <f>IF(M20=0,999,M20)</f>
        <v>0.002333333333333333</v>
      </c>
      <c r="AG19" s="55">
        <f>IF(S20=0,999,S20)</f>
        <v>999</v>
      </c>
      <c r="AH19" s="55">
        <f>IF(Y20=0,999,Y20)</f>
        <v>999</v>
      </c>
      <c r="AI19" s="55">
        <f>MIN(ABS(AE19),ABS(AF19),ABS(AG19),ABS(AH19))</f>
        <v>0.002333333333333333</v>
      </c>
      <c r="AJ19">
        <f>MATCH(AI19,AE19:AH19,0)</f>
        <v>2</v>
      </c>
      <c r="AK19" t="b">
        <f>ISNA(AJ19)</f>
        <v>0</v>
      </c>
    </row>
    <row r="20" spans="1:28" ht="12.75" customHeight="1">
      <c r="A20" s="17">
        <v>53</v>
      </c>
      <c r="B20" s="18">
        <v>58</v>
      </c>
      <c r="C20" s="43">
        <v>0.013</v>
      </c>
      <c r="D20" s="44">
        <v>0.013</v>
      </c>
      <c r="E20" s="44">
        <v>0.013</v>
      </c>
      <c r="F20" s="44">
        <f t="shared" si="0"/>
        <v>0.013</v>
      </c>
      <c r="G20" s="44">
        <f>(F19-F20)/2</f>
        <v>-0.0115</v>
      </c>
      <c r="H20" s="45">
        <v>-0.012</v>
      </c>
      <c r="I20" s="43">
        <v>-0.002</v>
      </c>
      <c r="J20" s="44">
        <v>-0.003</v>
      </c>
      <c r="K20" s="44">
        <v>-0.003</v>
      </c>
      <c r="L20" s="44">
        <f t="shared" si="6"/>
        <v>-0.0026666666666666666</v>
      </c>
      <c r="M20" s="44">
        <f>(L19-L20)/2</f>
        <v>0.002333333333333333</v>
      </c>
      <c r="N20" s="45"/>
      <c r="O20" s="43"/>
      <c r="P20" s="44"/>
      <c r="Q20" s="44"/>
      <c r="R20" s="44">
        <f t="shared" si="7"/>
        <v>0</v>
      </c>
      <c r="S20" s="44">
        <f>(R19-R20)/2</f>
        <v>0</v>
      </c>
      <c r="T20" s="45"/>
      <c r="U20" s="43"/>
      <c r="V20" s="44"/>
      <c r="W20" s="44"/>
      <c r="X20" s="44">
        <f t="shared" si="8"/>
        <v>0</v>
      </c>
      <c r="Y20" s="44">
        <f>(X19-X20)/2</f>
        <v>0</v>
      </c>
      <c r="Z20" s="45"/>
      <c r="AA20" s="75"/>
      <c r="AB20" s="59"/>
    </row>
    <row r="21" spans="1:37" ht="12.75" customHeight="1">
      <c r="A21" s="15">
        <v>64</v>
      </c>
      <c r="B21" s="16">
        <v>53</v>
      </c>
      <c r="C21" s="38">
        <v>0.022</v>
      </c>
      <c r="D21" s="39">
        <v>0.022</v>
      </c>
      <c r="E21" s="39">
        <v>0.021</v>
      </c>
      <c r="F21" s="39">
        <f t="shared" si="0"/>
        <v>0.021666666666666667</v>
      </c>
      <c r="G21" s="40"/>
      <c r="H21" s="41"/>
      <c r="I21" s="38">
        <v>0.005</v>
      </c>
      <c r="J21" s="39">
        <v>0.005</v>
      </c>
      <c r="K21" s="39">
        <v>0.005</v>
      </c>
      <c r="L21" s="39">
        <f t="shared" si="6"/>
        <v>0.005</v>
      </c>
      <c r="M21" s="40"/>
      <c r="N21" s="41"/>
      <c r="O21" s="42"/>
      <c r="P21" s="40"/>
      <c r="Q21" s="40"/>
      <c r="R21" s="39">
        <f t="shared" si="7"/>
        <v>0</v>
      </c>
      <c r="S21" s="40"/>
      <c r="T21" s="41"/>
      <c r="U21" s="42"/>
      <c r="V21" s="40"/>
      <c r="W21" s="40"/>
      <c r="X21" s="39">
        <f t="shared" si="8"/>
        <v>0</v>
      </c>
      <c r="Y21" s="40"/>
      <c r="Z21" s="41"/>
      <c r="AA21" s="76"/>
      <c r="AB21" s="59">
        <f t="shared" si="9"/>
        <v>0.018333333333333333</v>
      </c>
      <c r="AC21" s="55">
        <f t="shared" si="2"/>
        <v>0.018</v>
      </c>
      <c r="AD21" s="55">
        <f t="shared" si="3"/>
        <v>0.0035</v>
      </c>
      <c r="AE21" s="55">
        <f>IF(G22=0,999,G22)</f>
        <v>0.018333333333333333</v>
      </c>
      <c r="AF21" s="55">
        <f>IF(M22=0,999,M22)</f>
        <v>0.0035</v>
      </c>
      <c r="AG21" s="55">
        <f>IF(S22=0,999,S22)</f>
        <v>999</v>
      </c>
      <c r="AH21" s="55">
        <f>IF(Y22=0,999,Y22)</f>
        <v>999</v>
      </c>
      <c r="AI21" s="55">
        <f>MIN(ABS(AE21),ABS(AF21),ABS(AG21),ABS(AH21))</f>
        <v>0.0035</v>
      </c>
      <c r="AJ21">
        <f>MATCH(AI21,AE21:AH21,0)</f>
        <v>2</v>
      </c>
      <c r="AK21" t="b">
        <f>ISNA(AJ21)</f>
        <v>0</v>
      </c>
    </row>
    <row r="22" spans="1:28" ht="12.75" customHeight="1">
      <c r="A22" s="17">
        <v>53</v>
      </c>
      <c r="B22" s="18">
        <v>64</v>
      </c>
      <c r="C22" s="43">
        <v>-0.015</v>
      </c>
      <c r="D22" s="44">
        <v>-0.015</v>
      </c>
      <c r="E22" s="44">
        <v>-0.015</v>
      </c>
      <c r="F22" s="44">
        <f t="shared" si="0"/>
        <v>-0.015</v>
      </c>
      <c r="G22" s="44">
        <f>(F21-F22)/2</f>
        <v>0.018333333333333333</v>
      </c>
      <c r="H22" s="45">
        <v>0.018</v>
      </c>
      <c r="I22" s="43">
        <v>-0.001</v>
      </c>
      <c r="J22" s="44">
        <v>-0.002</v>
      </c>
      <c r="K22" s="44">
        <v>-0.003</v>
      </c>
      <c r="L22" s="44">
        <f t="shared" si="6"/>
        <v>-0.002</v>
      </c>
      <c r="M22" s="44">
        <f>(L21-L22)/2</f>
        <v>0.0035</v>
      </c>
      <c r="N22" s="45"/>
      <c r="O22" s="43"/>
      <c r="P22" s="44"/>
      <c r="Q22" s="44"/>
      <c r="R22" s="44">
        <f t="shared" si="7"/>
        <v>0</v>
      </c>
      <c r="S22" s="44">
        <f>(R21-R22)/2</f>
        <v>0</v>
      </c>
      <c r="T22" s="45"/>
      <c r="U22" s="43"/>
      <c r="V22" s="44"/>
      <c r="W22" s="44"/>
      <c r="X22" s="44">
        <f t="shared" si="8"/>
        <v>0</v>
      </c>
      <c r="Y22" s="44">
        <f>(X21-X22)/2</f>
        <v>0</v>
      </c>
      <c r="Z22" s="45"/>
      <c r="AA22" s="75"/>
      <c r="AB22" s="59"/>
    </row>
    <row r="23" spans="1:37" ht="12.75" customHeight="1">
      <c r="A23" s="15">
        <v>63</v>
      </c>
      <c r="B23" s="16">
        <v>58</v>
      </c>
      <c r="C23" s="38">
        <v>0.001</v>
      </c>
      <c r="D23" s="39">
        <v>0.001</v>
      </c>
      <c r="E23" s="39">
        <v>0.001</v>
      </c>
      <c r="F23" s="39">
        <f t="shared" si="0"/>
        <v>0.001</v>
      </c>
      <c r="G23" s="40"/>
      <c r="H23" s="41"/>
      <c r="I23" s="38"/>
      <c r="J23" s="39"/>
      <c r="K23" s="39"/>
      <c r="L23" s="39">
        <f t="shared" si="6"/>
        <v>0</v>
      </c>
      <c r="M23" s="40"/>
      <c r="N23" s="41"/>
      <c r="O23" s="38"/>
      <c r="P23" s="39"/>
      <c r="Q23" s="39"/>
      <c r="R23" s="39">
        <f aca="true" t="shared" si="10" ref="R23:R34">SUM(O23:Q23)/3</f>
        <v>0</v>
      </c>
      <c r="S23" s="40"/>
      <c r="T23" s="41"/>
      <c r="U23" s="38"/>
      <c r="V23" s="39"/>
      <c r="W23" s="39"/>
      <c r="X23" s="39">
        <f aca="true" t="shared" si="11" ref="X23:X34">SUM(U23:W23)/3</f>
        <v>0</v>
      </c>
      <c r="Y23" s="40"/>
      <c r="Z23" s="41"/>
      <c r="AA23" s="74"/>
      <c r="AB23" s="59">
        <f t="shared" si="9"/>
        <v>-0.0031666666666666666</v>
      </c>
      <c r="AC23" s="55">
        <f t="shared" si="2"/>
        <v>0</v>
      </c>
      <c r="AD23" s="55">
        <f t="shared" si="3"/>
        <v>-0.0031666666666666666</v>
      </c>
      <c r="AE23" s="55">
        <f>IF(G24=0,999,G24)</f>
        <v>-0.0031666666666666666</v>
      </c>
      <c r="AF23" s="55">
        <f>IF(M24=0,999,M24)</f>
        <v>999</v>
      </c>
      <c r="AG23" s="55">
        <f>IF(S24=0,999,S24)</f>
        <v>999</v>
      </c>
      <c r="AH23" s="55">
        <f>IF(Y24=0,999,Y24)</f>
        <v>999</v>
      </c>
      <c r="AI23" s="55">
        <f>MIN(ABS(AE23),ABS(AF23),ABS(AG23),ABS(AH23))</f>
        <v>0.0031666666666666666</v>
      </c>
      <c r="AJ23" t="e">
        <f>MATCH(AI23,AE23:AH23,0)</f>
        <v>#N/A</v>
      </c>
      <c r="AK23" t="b">
        <f>ISNA(AJ23)</f>
        <v>1</v>
      </c>
    </row>
    <row r="24" spans="1:28" ht="12.75" customHeight="1">
      <c r="A24" s="17">
        <v>58</v>
      </c>
      <c r="B24" s="18">
        <v>63</v>
      </c>
      <c r="C24" s="43">
        <v>0.008</v>
      </c>
      <c r="D24" s="44">
        <v>0.007</v>
      </c>
      <c r="E24" s="44">
        <v>0.007</v>
      </c>
      <c r="F24" s="44">
        <f t="shared" si="0"/>
        <v>0.007333333333333333</v>
      </c>
      <c r="G24" s="44">
        <f>(F23-F24)/2</f>
        <v>-0.0031666666666666666</v>
      </c>
      <c r="H24" s="45"/>
      <c r="I24" s="43"/>
      <c r="J24" s="44"/>
      <c r="K24" s="44"/>
      <c r="L24" s="44">
        <f t="shared" si="6"/>
        <v>0</v>
      </c>
      <c r="M24" s="44">
        <f>(L23-L24)/2</f>
        <v>0</v>
      </c>
      <c r="N24" s="45"/>
      <c r="O24" s="43"/>
      <c r="P24" s="44"/>
      <c r="Q24" s="44"/>
      <c r="R24" s="44">
        <f t="shared" si="10"/>
        <v>0</v>
      </c>
      <c r="S24" s="44">
        <f>(R23-R24)/2</f>
        <v>0</v>
      </c>
      <c r="T24" s="45"/>
      <c r="U24" s="43"/>
      <c r="V24" s="44"/>
      <c r="W24" s="44"/>
      <c r="X24" s="44">
        <f t="shared" si="11"/>
        <v>0</v>
      </c>
      <c r="Y24" s="44">
        <f>(X23-X24)/2</f>
        <v>0</v>
      </c>
      <c r="Z24" s="45"/>
      <c r="AA24" s="75"/>
      <c r="AB24" s="59"/>
    </row>
    <row r="25" spans="1:37" ht="12.75" customHeight="1">
      <c r="A25" s="15">
        <v>68</v>
      </c>
      <c r="B25" s="16">
        <v>58</v>
      </c>
      <c r="C25" s="51">
        <v>-0.012</v>
      </c>
      <c r="D25" s="39">
        <v>-0.012</v>
      </c>
      <c r="E25" s="39">
        <v>-0.012</v>
      </c>
      <c r="F25" s="39">
        <f t="shared" si="0"/>
        <v>-0.012000000000000002</v>
      </c>
      <c r="G25" s="40"/>
      <c r="H25" s="41"/>
      <c r="I25" s="38">
        <v>-0.001</v>
      </c>
      <c r="J25" s="39">
        <v>-0.002</v>
      </c>
      <c r="K25" s="39">
        <v>-0.002</v>
      </c>
      <c r="L25" s="39">
        <f t="shared" si="6"/>
        <v>-0.0016666666666666668</v>
      </c>
      <c r="M25" s="40"/>
      <c r="N25" s="41"/>
      <c r="O25" s="42"/>
      <c r="P25" s="40"/>
      <c r="Q25" s="40"/>
      <c r="R25" s="39">
        <f t="shared" si="10"/>
        <v>0</v>
      </c>
      <c r="S25" s="40"/>
      <c r="T25" s="41"/>
      <c r="U25" s="42"/>
      <c r="V25" s="40"/>
      <c r="W25" s="40"/>
      <c r="X25" s="39">
        <f t="shared" si="11"/>
        <v>0</v>
      </c>
      <c r="Y25" s="40"/>
      <c r="Z25" s="41"/>
      <c r="AA25" s="74"/>
      <c r="AB25" s="59">
        <f t="shared" si="9"/>
        <v>-0.011333333333333334</v>
      </c>
      <c r="AC25" s="55">
        <f t="shared" si="2"/>
        <v>-0.011</v>
      </c>
      <c r="AD25" s="55">
        <f t="shared" si="3"/>
        <v>-0.0018333333333333335</v>
      </c>
      <c r="AE25" s="55">
        <f>IF(G26=0,999,G26)</f>
        <v>-0.011333333333333334</v>
      </c>
      <c r="AF25" s="55">
        <f>IF(M26=0,999,M26)</f>
        <v>-0.0018333333333333335</v>
      </c>
      <c r="AG25" s="55">
        <f>IF(S26=0,999,S26)</f>
        <v>999</v>
      </c>
      <c r="AH25" s="55">
        <f>IF(Y26=0,999,Y26)</f>
        <v>999</v>
      </c>
      <c r="AI25" s="55">
        <f>MIN(ABS(AE25),ABS(AF25),ABS(AG25),ABS(AH25))</f>
        <v>0.0018333333333333335</v>
      </c>
      <c r="AJ25" t="e">
        <f>MATCH(AI25,AE25:AH25,0)</f>
        <v>#N/A</v>
      </c>
      <c r="AK25" t="b">
        <f>ISNA(AJ25)</f>
        <v>1</v>
      </c>
    </row>
    <row r="26" spans="1:28" ht="12.75" customHeight="1">
      <c r="A26" s="17">
        <v>58</v>
      </c>
      <c r="B26" s="18">
        <v>68</v>
      </c>
      <c r="C26" s="43">
        <v>0.012</v>
      </c>
      <c r="D26" s="44">
        <v>0.01</v>
      </c>
      <c r="E26" s="44">
        <v>0.01</v>
      </c>
      <c r="F26" s="44">
        <f t="shared" si="0"/>
        <v>0.010666666666666666</v>
      </c>
      <c r="G26" s="44">
        <f>(F25-F26)/2</f>
        <v>-0.011333333333333334</v>
      </c>
      <c r="H26" s="45">
        <v>-0.011</v>
      </c>
      <c r="I26" s="43">
        <v>0.002</v>
      </c>
      <c r="J26" s="44">
        <v>0.002</v>
      </c>
      <c r="K26" s="44">
        <v>0.002</v>
      </c>
      <c r="L26" s="44">
        <f t="shared" si="6"/>
        <v>0.002</v>
      </c>
      <c r="M26" s="44">
        <f>(L25-L26)/2</f>
        <v>-0.0018333333333333335</v>
      </c>
      <c r="N26" s="45"/>
      <c r="O26" s="43"/>
      <c r="P26" s="44"/>
      <c r="Q26" s="44"/>
      <c r="R26" s="44">
        <f t="shared" si="10"/>
        <v>0</v>
      </c>
      <c r="S26" s="44">
        <f>(R25-R26)/2</f>
        <v>0</v>
      </c>
      <c r="T26" s="45"/>
      <c r="U26" s="43"/>
      <c r="V26" s="44"/>
      <c r="W26" s="44"/>
      <c r="X26" s="44">
        <f t="shared" si="11"/>
        <v>0</v>
      </c>
      <c r="Y26" s="44">
        <f>(X25-X26)/2</f>
        <v>0</v>
      </c>
      <c r="Z26" s="45"/>
      <c r="AA26" s="75"/>
      <c r="AB26" s="59"/>
    </row>
    <row r="27" spans="1:37" ht="12.75" customHeight="1">
      <c r="A27" s="15">
        <v>87</v>
      </c>
      <c r="B27" s="16">
        <v>63</v>
      </c>
      <c r="C27" s="38">
        <v>-0.015</v>
      </c>
      <c r="D27" s="39">
        <v>-0.015</v>
      </c>
      <c r="E27" s="39">
        <v>-0.015</v>
      </c>
      <c r="F27" s="39">
        <f t="shared" si="0"/>
        <v>-0.015</v>
      </c>
      <c r="G27" s="40"/>
      <c r="H27" s="41"/>
      <c r="I27" s="38"/>
      <c r="J27" s="39"/>
      <c r="K27" s="39"/>
      <c r="L27" s="39">
        <f t="shared" si="6"/>
        <v>0</v>
      </c>
      <c r="M27" s="40"/>
      <c r="N27" s="41"/>
      <c r="O27" s="38"/>
      <c r="P27" s="39"/>
      <c r="Q27" s="39"/>
      <c r="R27" s="39">
        <f t="shared" si="10"/>
        <v>0</v>
      </c>
      <c r="S27" s="40"/>
      <c r="T27" s="41"/>
      <c r="U27" s="38"/>
      <c r="V27" s="39"/>
      <c r="W27" s="39"/>
      <c r="X27" s="39">
        <f t="shared" si="11"/>
        <v>0</v>
      </c>
      <c r="Y27" s="40"/>
      <c r="Z27" s="41"/>
      <c r="AA27" s="74"/>
      <c r="AB27" s="59">
        <f t="shared" si="9"/>
        <v>-0.007833333333333333</v>
      </c>
      <c r="AC27" s="55">
        <f t="shared" si="2"/>
        <v>0</v>
      </c>
      <c r="AD27" s="55">
        <f t="shared" si="3"/>
        <v>-0.007833333333333333</v>
      </c>
      <c r="AE27" s="55">
        <f>IF(G28=0,999,G28)</f>
        <v>-0.007833333333333333</v>
      </c>
      <c r="AF27" s="55">
        <f>IF(M28=0,999,M28)</f>
        <v>999</v>
      </c>
      <c r="AG27" s="55">
        <f>IF(S28=0,999,S28)</f>
        <v>999</v>
      </c>
      <c r="AH27" s="55">
        <f>IF(Y28=0,999,Y28)</f>
        <v>999</v>
      </c>
      <c r="AI27" s="55">
        <f>MIN(ABS(AE27),ABS(AF27),ABS(AG27),ABS(AH27))</f>
        <v>0.007833333333333333</v>
      </c>
      <c r="AJ27" t="e">
        <f>MATCH(AI27,AE27:AH27,0)</f>
        <v>#N/A</v>
      </c>
      <c r="AK27" t="b">
        <f>ISNA(AJ27)</f>
        <v>1</v>
      </c>
    </row>
    <row r="28" spans="1:28" ht="12.75" customHeight="1">
      <c r="A28" s="17">
        <v>63</v>
      </c>
      <c r="B28" s="18">
        <v>87</v>
      </c>
      <c r="C28" s="43">
        <v>0.001</v>
      </c>
      <c r="D28" s="44">
        <v>0.001</v>
      </c>
      <c r="E28" s="44">
        <v>0</v>
      </c>
      <c r="F28" s="44">
        <f t="shared" si="0"/>
        <v>0.0006666666666666666</v>
      </c>
      <c r="G28" s="44">
        <f>(F27-F28)/2</f>
        <v>-0.007833333333333333</v>
      </c>
      <c r="H28" s="45"/>
      <c r="I28" s="43"/>
      <c r="J28" s="44"/>
      <c r="K28" s="44"/>
      <c r="L28" s="44">
        <f t="shared" si="6"/>
        <v>0</v>
      </c>
      <c r="M28" s="44">
        <f>(L27-L28)/2</f>
        <v>0</v>
      </c>
      <c r="N28" s="45"/>
      <c r="O28" s="43"/>
      <c r="P28" s="44"/>
      <c r="Q28" s="44"/>
      <c r="R28" s="44">
        <f t="shared" si="10"/>
        <v>0</v>
      </c>
      <c r="S28" s="44">
        <f>(R27-R28)/2</f>
        <v>0</v>
      </c>
      <c r="T28" s="45"/>
      <c r="U28" s="43"/>
      <c r="V28" s="44"/>
      <c r="W28" s="44"/>
      <c r="X28" s="44">
        <f t="shared" si="11"/>
        <v>0</v>
      </c>
      <c r="Y28" s="44">
        <f>(X27-X28)/2</f>
        <v>0</v>
      </c>
      <c r="Z28" s="45"/>
      <c r="AA28" s="75"/>
      <c r="AB28" s="59"/>
    </row>
    <row r="29" spans="1:37" ht="12.75" customHeight="1">
      <c r="A29" s="15">
        <v>72</v>
      </c>
      <c r="B29" s="16">
        <v>63</v>
      </c>
      <c r="C29" s="38">
        <v>0.006</v>
      </c>
      <c r="D29" s="39">
        <v>0.006</v>
      </c>
      <c r="E29" s="39">
        <v>0.006</v>
      </c>
      <c r="F29" s="39">
        <f t="shared" si="0"/>
        <v>0.006000000000000001</v>
      </c>
      <c r="G29" s="40"/>
      <c r="H29" s="41"/>
      <c r="I29" s="38"/>
      <c r="J29" s="39"/>
      <c r="K29" s="39"/>
      <c r="L29" s="39">
        <f t="shared" si="6"/>
        <v>0</v>
      </c>
      <c r="M29" s="40"/>
      <c r="N29" s="41"/>
      <c r="O29" s="38"/>
      <c r="P29" s="39"/>
      <c r="Q29" s="39"/>
      <c r="R29" s="39">
        <f t="shared" si="10"/>
        <v>0</v>
      </c>
      <c r="S29" s="40"/>
      <c r="T29" s="41"/>
      <c r="U29" s="38"/>
      <c r="V29" s="39"/>
      <c r="W29" s="39"/>
      <c r="X29" s="39">
        <f t="shared" si="11"/>
        <v>0</v>
      </c>
      <c r="Y29" s="40"/>
      <c r="Z29" s="41"/>
      <c r="AA29" s="74"/>
      <c r="AB29" s="59">
        <f t="shared" si="9"/>
        <v>0.008</v>
      </c>
      <c r="AC29" s="55">
        <f t="shared" si="2"/>
        <v>0</v>
      </c>
      <c r="AD29" s="55">
        <f t="shared" si="3"/>
        <v>0.008</v>
      </c>
      <c r="AE29" s="55">
        <f>IF(G30=0,999,G30)</f>
        <v>0.008</v>
      </c>
      <c r="AF29" s="55">
        <f>IF(M30=0,999,M30)</f>
        <v>999</v>
      </c>
      <c r="AG29" s="55">
        <f>IF(S30=0,999,S30)</f>
        <v>999</v>
      </c>
      <c r="AH29" s="55">
        <f>IF(Y30=0,999,Y30)</f>
        <v>999</v>
      </c>
      <c r="AI29" s="55">
        <f>MIN(ABS(AE29),ABS(AF29),ABS(AG29),ABS(AH29))</f>
        <v>0.008</v>
      </c>
      <c r="AJ29">
        <f>MATCH(AI29,AE29:AH29,0)</f>
        <v>1</v>
      </c>
      <c r="AK29" t="b">
        <f>ISNA(AJ29)</f>
        <v>0</v>
      </c>
    </row>
    <row r="30" spans="1:28" ht="12.75" customHeight="1">
      <c r="A30" s="17">
        <v>63</v>
      </c>
      <c r="B30" s="18">
        <v>72</v>
      </c>
      <c r="C30" s="43">
        <v>-0.01</v>
      </c>
      <c r="D30" s="44">
        <v>-0.01</v>
      </c>
      <c r="E30" s="44">
        <v>-0.01</v>
      </c>
      <c r="F30" s="44">
        <f t="shared" si="0"/>
        <v>-0.01</v>
      </c>
      <c r="G30" s="44">
        <f>(F29-F30)/2</f>
        <v>0.008</v>
      </c>
      <c r="H30" s="45"/>
      <c r="I30" s="43"/>
      <c r="J30" s="44"/>
      <c r="K30" s="44"/>
      <c r="L30" s="44">
        <f t="shared" si="6"/>
        <v>0</v>
      </c>
      <c r="M30" s="44">
        <f>(L29-L30)/2</f>
        <v>0</v>
      </c>
      <c r="N30" s="45"/>
      <c r="O30" s="43"/>
      <c r="P30" s="44"/>
      <c r="Q30" s="44"/>
      <c r="R30" s="44">
        <f t="shared" si="10"/>
        <v>0</v>
      </c>
      <c r="S30" s="44">
        <f>(R29-R30)/2</f>
        <v>0</v>
      </c>
      <c r="T30" s="45"/>
      <c r="U30" s="43"/>
      <c r="V30" s="44"/>
      <c r="W30" s="44"/>
      <c r="X30" s="44">
        <f t="shared" si="11"/>
        <v>0</v>
      </c>
      <c r="Y30" s="44">
        <f>(X29-X30)/2</f>
        <v>0</v>
      </c>
      <c r="Z30" s="45"/>
      <c r="AA30" s="75"/>
      <c r="AB30" s="59"/>
    </row>
    <row r="31" spans="1:37" ht="12.75" customHeight="1">
      <c r="A31" s="15">
        <v>77</v>
      </c>
      <c r="B31" s="16">
        <v>68</v>
      </c>
      <c r="C31" s="38">
        <v>0.003</v>
      </c>
      <c r="D31" s="39">
        <v>0.002</v>
      </c>
      <c r="E31" s="39">
        <v>0.002</v>
      </c>
      <c r="F31" s="39">
        <f t="shared" si="0"/>
        <v>0.0023333333333333335</v>
      </c>
      <c r="G31" s="40"/>
      <c r="H31" s="41"/>
      <c r="I31" s="38"/>
      <c r="J31" s="39"/>
      <c r="K31" s="39"/>
      <c r="L31" s="39">
        <f t="shared" si="6"/>
        <v>0</v>
      </c>
      <c r="M31" s="40"/>
      <c r="N31" s="41"/>
      <c r="O31" s="42"/>
      <c r="P31" s="40"/>
      <c r="Q31" s="40"/>
      <c r="R31" s="39">
        <f t="shared" si="10"/>
        <v>0</v>
      </c>
      <c r="S31" s="40"/>
      <c r="T31" s="41"/>
      <c r="U31" s="42"/>
      <c r="V31" s="40"/>
      <c r="W31" s="40"/>
      <c r="X31" s="39">
        <f t="shared" si="11"/>
        <v>0</v>
      </c>
      <c r="Y31" s="40"/>
      <c r="Z31" s="41"/>
      <c r="AA31" s="74"/>
      <c r="AB31" s="59">
        <f t="shared" si="9"/>
        <v>0.0015</v>
      </c>
      <c r="AC31" s="55">
        <f t="shared" si="2"/>
        <v>0</v>
      </c>
      <c r="AD31" s="55">
        <f t="shared" si="3"/>
        <v>0.0015</v>
      </c>
      <c r="AE31" s="55">
        <f>IF(G32=0,999,G32)</f>
        <v>0.0015</v>
      </c>
      <c r="AF31" s="55">
        <f>IF(M32=0,999,M32)</f>
        <v>999</v>
      </c>
      <c r="AG31" s="55">
        <f>IF(S32=0,999,S32)</f>
        <v>999</v>
      </c>
      <c r="AH31" s="55">
        <f>IF(Y32=0,999,Y32)</f>
        <v>999</v>
      </c>
      <c r="AI31" s="55">
        <f>MIN(ABS(AE31),ABS(AF31),ABS(AG31),ABS(AH31))</f>
        <v>0.0015</v>
      </c>
      <c r="AJ31">
        <f>MATCH(AI31,AE31:AH31,0)</f>
        <v>1</v>
      </c>
      <c r="AK31" t="b">
        <f>ISNA(AJ31)</f>
        <v>0</v>
      </c>
    </row>
    <row r="32" spans="1:28" ht="12.75" customHeight="1">
      <c r="A32" s="17">
        <v>68</v>
      </c>
      <c r="B32" s="18">
        <v>77</v>
      </c>
      <c r="C32" s="43">
        <v>0</v>
      </c>
      <c r="D32" s="44">
        <v>-0.001</v>
      </c>
      <c r="E32" s="44">
        <v>-0.001</v>
      </c>
      <c r="F32" s="44">
        <f t="shared" si="0"/>
        <v>-0.0006666666666666666</v>
      </c>
      <c r="G32" s="44">
        <f>(F31-F32)/2</f>
        <v>0.0015</v>
      </c>
      <c r="H32" s="45"/>
      <c r="I32" s="43"/>
      <c r="J32" s="44"/>
      <c r="K32" s="44"/>
      <c r="L32" s="44">
        <f t="shared" si="6"/>
        <v>0</v>
      </c>
      <c r="M32" s="44">
        <f>(L31-L32)/2</f>
        <v>0</v>
      </c>
      <c r="N32" s="45"/>
      <c r="O32" s="43"/>
      <c r="P32" s="44"/>
      <c r="Q32" s="44"/>
      <c r="R32" s="44">
        <f t="shared" si="10"/>
        <v>0</v>
      </c>
      <c r="S32" s="44">
        <f>(R31-R32)/2</f>
        <v>0</v>
      </c>
      <c r="T32" s="45"/>
      <c r="U32" s="43"/>
      <c r="V32" s="44"/>
      <c r="W32" s="44"/>
      <c r="X32" s="44">
        <f t="shared" si="11"/>
        <v>0</v>
      </c>
      <c r="Y32" s="44">
        <f>(X31-X32)/2</f>
        <v>0</v>
      </c>
      <c r="Z32" s="45"/>
      <c r="AA32" s="75"/>
      <c r="AB32" s="59"/>
    </row>
    <row r="33" spans="1:37" ht="12.75" customHeight="1">
      <c r="A33" s="15">
        <v>73</v>
      </c>
      <c r="B33" s="16">
        <v>64</v>
      </c>
      <c r="C33" s="38">
        <v>-0.001</v>
      </c>
      <c r="D33" s="39">
        <v>-0.001</v>
      </c>
      <c r="E33" s="39">
        <v>-0.001</v>
      </c>
      <c r="F33" s="39">
        <f aca="true" t="shared" si="12" ref="F33:F62">SUM(C33:E33)/3</f>
        <v>-0.001</v>
      </c>
      <c r="G33" s="40"/>
      <c r="H33" s="41"/>
      <c r="I33" s="38"/>
      <c r="J33" s="39"/>
      <c r="K33" s="39"/>
      <c r="L33" s="39">
        <f t="shared" si="6"/>
        <v>0</v>
      </c>
      <c r="M33" s="40"/>
      <c r="N33" s="41"/>
      <c r="O33" s="38"/>
      <c r="P33" s="39"/>
      <c r="Q33" s="39"/>
      <c r="R33" s="39">
        <f t="shared" si="10"/>
        <v>0</v>
      </c>
      <c r="S33" s="40"/>
      <c r="T33" s="41"/>
      <c r="U33" s="38"/>
      <c r="V33" s="39"/>
      <c r="W33" s="39"/>
      <c r="X33" s="39">
        <f t="shared" si="11"/>
        <v>0</v>
      </c>
      <c r="Y33" s="40"/>
      <c r="Z33" s="41"/>
      <c r="AA33" s="74"/>
      <c r="AB33" s="59">
        <f t="shared" si="9"/>
        <v>-0.0015</v>
      </c>
      <c r="AC33" s="55">
        <f t="shared" si="2"/>
        <v>0</v>
      </c>
      <c r="AD33" s="55">
        <f t="shared" si="3"/>
        <v>-0.0015</v>
      </c>
      <c r="AE33" s="55">
        <f>IF(G34=0,999,G34)</f>
        <v>-0.0015</v>
      </c>
      <c r="AF33" s="55">
        <f>IF(M34=0,999,M34)</f>
        <v>999</v>
      </c>
      <c r="AG33" s="55">
        <f>IF(S34=0,999,S34)</f>
        <v>999</v>
      </c>
      <c r="AH33" s="55">
        <f>IF(Y34=0,999,Y34)</f>
        <v>999</v>
      </c>
      <c r="AI33" s="55">
        <f>MIN(ABS(AE33),ABS(AF33),ABS(AG33),ABS(AH33))</f>
        <v>0.0015</v>
      </c>
      <c r="AJ33" t="e">
        <f>MATCH(AI33,AE33:AH33,0)</f>
        <v>#N/A</v>
      </c>
      <c r="AK33" t="b">
        <f>ISNA(AJ33)</f>
        <v>1</v>
      </c>
    </row>
    <row r="34" spans="1:28" ht="12.75" customHeight="1">
      <c r="A34" s="17">
        <v>64</v>
      </c>
      <c r="B34" s="18">
        <v>73</v>
      </c>
      <c r="C34" s="43">
        <v>0.002</v>
      </c>
      <c r="D34" s="44">
        <v>0.002</v>
      </c>
      <c r="E34" s="44">
        <v>0.002</v>
      </c>
      <c r="F34" s="44">
        <f t="shared" si="12"/>
        <v>0.002</v>
      </c>
      <c r="G34" s="44">
        <f>(F33-F34)/2</f>
        <v>-0.0015</v>
      </c>
      <c r="H34" s="45"/>
      <c r="I34" s="43"/>
      <c r="J34" s="44"/>
      <c r="K34" s="44"/>
      <c r="L34" s="44">
        <f t="shared" si="6"/>
        <v>0</v>
      </c>
      <c r="M34" s="44">
        <f>(L33-L34)/2</f>
        <v>0</v>
      </c>
      <c r="N34" s="45"/>
      <c r="O34" s="43"/>
      <c r="P34" s="44"/>
      <c r="Q34" s="44"/>
      <c r="R34" s="44">
        <f t="shared" si="10"/>
        <v>0</v>
      </c>
      <c r="S34" s="44">
        <f>(R33-R34)/2</f>
        <v>0</v>
      </c>
      <c r="T34" s="45"/>
      <c r="U34" s="43"/>
      <c r="V34" s="44"/>
      <c r="W34" s="44"/>
      <c r="X34" s="44">
        <f t="shared" si="11"/>
        <v>0</v>
      </c>
      <c r="Y34" s="44">
        <f>(X33-X34)/2</f>
        <v>0</v>
      </c>
      <c r="Z34" s="45"/>
      <c r="AA34" s="75"/>
      <c r="AB34" s="59"/>
    </row>
    <row r="35" spans="1:37" ht="12.75" customHeight="1">
      <c r="A35" s="15">
        <v>69</v>
      </c>
      <c r="B35" s="16">
        <v>59</v>
      </c>
      <c r="C35" s="38">
        <v>-0.048</v>
      </c>
      <c r="D35" s="39">
        <v>-0.048</v>
      </c>
      <c r="E35" s="39">
        <v>-0.048</v>
      </c>
      <c r="F35" s="39">
        <f t="shared" si="12"/>
        <v>-0.04800000000000001</v>
      </c>
      <c r="G35" s="40"/>
      <c r="H35" s="41"/>
      <c r="I35" s="38">
        <v>-0.005</v>
      </c>
      <c r="J35" s="39">
        <v>-0.005</v>
      </c>
      <c r="K35" s="39">
        <v>-0.005</v>
      </c>
      <c r="L35" s="39">
        <f t="shared" si="6"/>
        <v>-0.005</v>
      </c>
      <c r="M35" s="40"/>
      <c r="N35" s="41"/>
      <c r="O35" s="42"/>
      <c r="P35" s="40"/>
      <c r="Q35" s="40"/>
      <c r="R35" s="39">
        <f aca="true" t="shared" si="13" ref="R35:R96">SUM(O35:Q35)/3</f>
        <v>0</v>
      </c>
      <c r="S35" s="40"/>
      <c r="T35" s="41"/>
      <c r="U35" s="42"/>
      <c r="V35" s="40"/>
      <c r="W35" s="40"/>
      <c r="X35" s="39">
        <f aca="true" t="shared" si="14" ref="X35:X96">SUM(U35:W35)/3</f>
        <v>0</v>
      </c>
      <c r="Y35" s="40"/>
      <c r="Z35" s="41"/>
      <c r="AA35" s="74"/>
      <c r="AB35" s="59">
        <f t="shared" si="9"/>
        <v>-0.04650000000000001</v>
      </c>
      <c r="AC35" s="55">
        <f t="shared" si="2"/>
        <v>-0.047</v>
      </c>
      <c r="AD35" s="55">
        <f t="shared" si="3"/>
        <v>-0.003</v>
      </c>
      <c r="AE35" s="55">
        <f>IF(G36=0,999,G36)</f>
        <v>-0.04650000000000001</v>
      </c>
      <c r="AF35" s="55">
        <f>IF(M36=0,999,M36)</f>
        <v>-0.003</v>
      </c>
      <c r="AG35" s="55">
        <f>IF(S36=0,999,S36)</f>
        <v>999</v>
      </c>
      <c r="AH35" s="55">
        <f>IF(Y36=0,999,Y36)</f>
        <v>999</v>
      </c>
      <c r="AI35" s="55">
        <f>MIN(ABS(AE35),ABS(AF35),ABS(AG35),ABS(AH35))</f>
        <v>0.003</v>
      </c>
      <c r="AJ35" t="e">
        <f>MATCH(AI35,AE35:AH35,0)</f>
        <v>#N/A</v>
      </c>
      <c r="AK35" t="b">
        <f>ISNA(AJ35)</f>
        <v>1</v>
      </c>
    </row>
    <row r="36" spans="1:28" ht="12.75" customHeight="1">
      <c r="A36" s="17">
        <v>59</v>
      </c>
      <c r="B36" s="18">
        <v>69</v>
      </c>
      <c r="C36" s="43">
        <v>0.045</v>
      </c>
      <c r="D36" s="44">
        <v>0.045</v>
      </c>
      <c r="E36" s="44">
        <v>0.045</v>
      </c>
      <c r="F36" s="44">
        <f t="shared" si="12"/>
        <v>0.045000000000000005</v>
      </c>
      <c r="G36" s="44">
        <f>(F35-F36)/2</f>
        <v>-0.04650000000000001</v>
      </c>
      <c r="H36" s="45">
        <v>-0.047</v>
      </c>
      <c r="I36" s="43">
        <v>0.001</v>
      </c>
      <c r="J36" s="44">
        <v>0.001</v>
      </c>
      <c r="K36" s="44">
        <v>0.001</v>
      </c>
      <c r="L36" s="44">
        <f t="shared" si="6"/>
        <v>0.001</v>
      </c>
      <c r="M36" s="44">
        <f>(L35-L36)/2</f>
        <v>-0.003</v>
      </c>
      <c r="N36" s="45"/>
      <c r="O36" s="43"/>
      <c r="P36" s="44"/>
      <c r="Q36" s="44"/>
      <c r="R36" s="44">
        <f t="shared" si="13"/>
        <v>0</v>
      </c>
      <c r="S36" s="44">
        <f>(R35-R36)/2</f>
        <v>0</v>
      </c>
      <c r="T36" s="45"/>
      <c r="U36" s="43"/>
      <c r="V36" s="44"/>
      <c r="W36" s="44"/>
      <c r="X36" s="44">
        <f t="shared" si="14"/>
        <v>0</v>
      </c>
      <c r="Y36" s="44">
        <f>(X35-X36)/2</f>
        <v>0</v>
      </c>
      <c r="Z36" s="45"/>
      <c r="AA36" s="75"/>
      <c r="AB36" s="59"/>
    </row>
    <row r="37" spans="1:37" ht="12.75" customHeight="1">
      <c r="A37" s="15">
        <v>65</v>
      </c>
      <c r="B37" s="16">
        <v>54</v>
      </c>
      <c r="C37" s="38">
        <v>-0.041</v>
      </c>
      <c r="D37" s="39">
        <v>-0.041</v>
      </c>
      <c r="E37" s="39">
        <v>-0.041</v>
      </c>
      <c r="F37" s="39">
        <f t="shared" si="12"/>
        <v>-0.041</v>
      </c>
      <c r="G37" s="40"/>
      <c r="H37" s="41"/>
      <c r="I37" s="38">
        <v>0</v>
      </c>
      <c r="J37" s="39">
        <v>0</v>
      </c>
      <c r="K37" s="39">
        <v>0</v>
      </c>
      <c r="L37" s="39">
        <f t="shared" si="6"/>
        <v>0</v>
      </c>
      <c r="M37" s="40"/>
      <c r="N37" s="41"/>
      <c r="O37" s="42"/>
      <c r="P37" s="40"/>
      <c r="Q37" s="40"/>
      <c r="R37" s="39">
        <f t="shared" si="13"/>
        <v>0</v>
      </c>
      <c r="S37" s="40"/>
      <c r="T37" s="41"/>
      <c r="U37" s="42"/>
      <c r="V37" s="40"/>
      <c r="W37" s="40"/>
      <c r="X37" s="39">
        <f t="shared" si="14"/>
        <v>0</v>
      </c>
      <c r="Y37" s="40"/>
      <c r="Z37" s="41"/>
      <c r="AA37" s="74"/>
      <c r="AB37" s="59">
        <f t="shared" si="9"/>
        <v>-0.0405</v>
      </c>
      <c r="AC37" s="55">
        <f t="shared" si="2"/>
        <v>-0.041</v>
      </c>
      <c r="AD37" s="55">
        <f t="shared" si="3"/>
        <v>-0.00016666666666666666</v>
      </c>
      <c r="AE37" s="55">
        <f>IF(G38=0,999,G38)</f>
        <v>-0.0405</v>
      </c>
      <c r="AF37" s="55">
        <f>IF(M38=0,999,M38)</f>
        <v>-0.00016666666666666666</v>
      </c>
      <c r="AG37" s="55">
        <f>IF(S38=0,999,S38)</f>
        <v>999</v>
      </c>
      <c r="AH37" s="55">
        <f>IF(Y38=0,999,Y38)</f>
        <v>999</v>
      </c>
      <c r="AI37" s="55">
        <f>MIN(ABS(AE37),ABS(AF37),ABS(AG37),ABS(AH37))</f>
        <v>0.00016666666666666666</v>
      </c>
      <c r="AJ37" t="e">
        <f>MATCH(AI37,AE37:AH37,0)</f>
        <v>#N/A</v>
      </c>
      <c r="AK37" t="b">
        <f>ISNA(AJ37)</f>
        <v>1</v>
      </c>
    </row>
    <row r="38" spans="1:28" ht="12.75" customHeight="1">
      <c r="A38" s="17">
        <v>54</v>
      </c>
      <c r="B38" s="18">
        <v>65</v>
      </c>
      <c r="C38" s="43">
        <v>0.04</v>
      </c>
      <c r="D38" s="44">
        <v>0.04</v>
      </c>
      <c r="E38" s="44">
        <v>0.04</v>
      </c>
      <c r="F38" s="44">
        <f t="shared" si="12"/>
        <v>0.04</v>
      </c>
      <c r="G38" s="44">
        <f>(F37-F38)/2</f>
        <v>-0.0405</v>
      </c>
      <c r="H38" s="45">
        <v>-0.041</v>
      </c>
      <c r="I38" s="43">
        <v>0.001</v>
      </c>
      <c r="J38" s="44">
        <v>0</v>
      </c>
      <c r="K38" s="44">
        <v>0</v>
      </c>
      <c r="L38" s="44">
        <f t="shared" si="6"/>
        <v>0.0003333333333333333</v>
      </c>
      <c r="M38" s="44">
        <f>(L37-L38)/2</f>
        <v>-0.00016666666666666666</v>
      </c>
      <c r="N38" s="45"/>
      <c r="O38" s="43"/>
      <c r="P38" s="44"/>
      <c r="Q38" s="44"/>
      <c r="R38" s="44">
        <f t="shared" si="13"/>
        <v>0</v>
      </c>
      <c r="S38" s="44">
        <f>(R37-R38)/2</f>
        <v>0</v>
      </c>
      <c r="T38" s="45"/>
      <c r="U38" s="43"/>
      <c r="V38" s="44"/>
      <c r="W38" s="44"/>
      <c r="X38" s="44">
        <f t="shared" si="14"/>
        <v>0</v>
      </c>
      <c r="Y38" s="44">
        <f>(X37-X38)/2</f>
        <v>0</v>
      </c>
      <c r="Z38" s="45"/>
      <c r="AA38" s="75"/>
      <c r="AB38" s="59"/>
    </row>
    <row r="39" spans="1:37" ht="12.75" customHeight="1">
      <c r="A39" s="15">
        <v>74</v>
      </c>
      <c r="B39" s="16">
        <v>65</v>
      </c>
      <c r="C39" s="38">
        <v>-0.045</v>
      </c>
      <c r="D39" s="39">
        <v>-0.045</v>
      </c>
      <c r="E39" s="39">
        <v>-0.045</v>
      </c>
      <c r="F39" s="39">
        <f t="shared" si="12"/>
        <v>-0.045000000000000005</v>
      </c>
      <c r="G39" s="40"/>
      <c r="H39" s="41"/>
      <c r="I39" s="38">
        <v>-0.007</v>
      </c>
      <c r="J39" s="39">
        <v>-0.007</v>
      </c>
      <c r="K39" s="39">
        <v>-0.007</v>
      </c>
      <c r="L39" s="39">
        <f t="shared" si="6"/>
        <v>-0.007</v>
      </c>
      <c r="M39" s="40"/>
      <c r="N39" s="41"/>
      <c r="O39" s="42"/>
      <c r="P39" s="40"/>
      <c r="Q39" s="40"/>
      <c r="R39" s="39">
        <f t="shared" si="13"/>
        <v>0</v>
      </c>
      <c r="S39" s="40"/>
      <c r="T39" s="41"/>
      <c r="U39" s="42"/>
      <c r="V39" s="40"/>
      <c r="W39" s="40"/>
      <c r="X39" s="39">
        <f t="shared" si="14"/>
        <v>0</v>
      </c>
      <c r="Y39" s="40"/>
      <c r="Z39" s="41"/>
      <c r="AA39" s="74"/>
      <c r="AB39" s="59">
        <f t="shared" si="9"/>
        <v>-0.03966666666666667</v>
      </c>
      <c r="AC39" s="55">
        <f t="shared" si="2"/>
        <v>-0.04</v>
      </c>
      <c r="AD39" s="55">
        <f t="shared" si="3"/>
        <v>-0.002333333333333333</v>
      </c>
      <c r="AE39" s="55">
        <f>IF(G40=0,999,G40)</f>
        <v>-0.03966666666666667</v>
      </c>
      <c r="AF39" s="55">
        <f>IF(M40=0,999,M40)</f>
        <v>-0.002333333333333333</v>
      </c>
      <c r="AG39" s="55">
        <f>IF(S40=0,999,S40)</f>
        <v>999</v>
      </c>
      <c r="AH39" s="55">
        <f>IF(Y40=0,999,Y40)</f>
        <v>999</v>
      </c>
      <c r="AI39" s="55">
        <f>MIN(ABS(AE39),ABS(AF39),ABS(AG39),ABS(AH39))</f>
        <v>0.002333333333333333</v>
      </c>
      <c r="AJ39" t="e">
        <f>MATCH(AI39,AE39:AH39,0)</f>
        <v>#N/A</v>
      </c>
      <c r="AK39" t="b">
        <f>ISNA(AJ39)</f>
        <v>1</v>
      </c>
    </row>
    <row r="40" spans="1:28" ht="12.75" customHeight="1">
      <c r="A40" s="17">
        <v>65</v>
      </c>
      <c r="B40" s="18">
        <v>74</v>
      </c>
      <c r="C40" s="43">
        <v>0.035</v>
      </c>
      <c r="D40" s="44">
        <v>0.034</v>
      </c>
      <c r="E40" s="44">
        <v>0.034</v>
      </c>
      <c r="F40" s="44">
        <f t="shared" si="12"/>
        <v>0.034333333333333334</v>
      </c>
      <c r="G40" s="44">
        <f>(F39-F40)/2</f>
        <v>-0.03966666666666667</v>
      </c>
      <c r="H40" s="45">
        <v>-0.04</v>
      </c>
      <c r="I40" s="43">
        <v>-0.001</v>
      </c>
      <c r="J40" s="44">
        <v>-0.003</v>
      </c>
      <c r="K40" s="44">
        <v>-0.003</v>
      </c>
      <c r="L40" s="44">
        <f t="shared" si="6"/>
        <v>-0.0023333333333333335</v>
      </c>
      <c r="M40" s="44">
        <f>(L39-L40)/2</f>
        <v>-0.002333333333333333</v>
      </c>
      <c r="N40" s="45"/>
      <c r="O40" s="43"/>
      <c r="P40" s="44"/>
      <c r="Q40" s="44"/>
      <c r="R40" s="44">
        <f t="shared" si="13"/>
        <v>0</v>
      </c>
      <c r="S40" s="44">
        <f>(R39-R40)/2</f>
        <v>0</v>
      </c>
      <c r="T40" s="45"/>
      <c r="U40" s="43"/>
      <c r="V40" s="44"/>
      <c r="W40" s="44"/>
      <c r="X40" s="44">
        <f t="shared" si="14"/>
        <v>0</v>
      </c>
      <c r="Y40" s="44">
        <f>(X39-X40)/2</f>
        <v>0</v>
      </c>
      <c r="Z40" s="45"/>
      <c r="AA40" s="75"/>
      <c r="AB40" s="59"/>
    </row>
    <row r="41" spans="1:37" ht="12.75" customHeight="1">
      <c r="A41" s="15">
        <v>78</v>
      </c>
      <c r="B41" s="16">
        <v>69</v>
      </c>
      <c r="C41" s="38">
        <v>-0.01</v>
      </c>
      <c r="D41" s="39">
        <v>-0.01</v>
      </c>
      <c r="E41" s="39">
        <v>-0.01</v>
      </c>
      <c r="F41" s="39">
        <f t="shared" si="12"/>
        <v>-0.01</v>
      </c>
      <c r="G41" s="40"/>
      <c r="H41" s="41"/>
      <c r="I41" s="38"/>
      <c r="J41" s="39"/>
      <c r="K41" s="39"/>
      <c r="L41" s="39">
        <f aca="true" t="shared" si="15" ref="L41:L62">SUM(I41:K41)/3</f>
        <v>0</v>
      </c>
      <c r="M41" s="40"/>
      <c r="N41" s="41"/>
      <c r="O41" s="42"/>
      <c r="P41" s="40"/>
      <c r="Q41" s="40"/>
      <c r="R41" s="39">
        <f t="shared" si="13"/>
        <v>0</v>
      </c>
      <c r="S41" s="40"/>
      <c r="T41" s="41"/>
      <c r="U41" s="42"/>
      <c r="V41" s="40"/>
      <c r="W41" s="40"/>
      <c r="X41" s="39">
        <f t="shared" si="14"/>
        <v>0</v>
      </c>
      <c r="Y41" s="40"/>
      <c r="Z41" s="41"/>
      <c r="AA41" s="74"/>
      <c r="AB41" s="59">
        <f t="shared" si="9"/>
        <v>-0.007166666666666667</v>
      </c>
      <c r="AC41" s="55">
        <f t="shared" si="2"/>
        <v>0</v>
      </c>
      <c r="AD41" s="55">
        <f t="shared" si="3"/>
        <v>-0.007166666666666667</v>
      </c>
      <c r="AE41" s="55">
        <f>IF(G42=0,999,G42)</f>
        <v>-0.007166666666666667</v>
      </c>
      <c r="AF41" s="55">
        <f>IF(M42=0,999,M42)</f>
        <v>999</v>
      </c>
      <c r="AG41" s="55">
        <f>IF(S42=0,999,S42)</f>
        <v>999</v>
      </c>
      <c r="AH41" s="55">
        <f>IF(Y42=0,999,Y42)</f>
        <v>999</v>
      </c>
      <c r="AI41" s="55">
        <f>MIN(ABS(AE41),ABS(AF41),ABS(AG41),ABS(AH41))</f>
        <v>0.007166666666666667</v>
      </c>
      <c r="AJ41" t="e">
        <f>MATCH(AI41,AE41:AH41,0)</f>
        <v>#N/A</v>
      </c>
      <c r="AK41" t="b">
        <f>ISNA(AJ41)</f>
        <v>1</v>
      </c>
    </row>
    <row r="42" spans="1:28" ht="12.75" customHeight="1">
      <c r="A42" s="17">
        <v>69</v>
      </c>
      <c r="B42" s="18">
        <v>78</v>
      </c>
      <c r="C42" s="43">
        <v>0.003</v>
      </c>
      <c r="D42" s="44">
        <v>0.005</v>
      </c>
      <c r="E42" s="44">
        <v>0.005</v>
      </c>
      <c r="F42" s="44">
        <f t="shared" si="12"/>
        <v>0.004333333333333334</v>
      </c>
      <c r="G42" s="44">
        <f>(F41-F42)/2</f>
        <v>-0.007166666666666667</v>
      </c>
      <c r="H42" s="45"/>
      <c r="I42" s="43"/>
      <c r="J42" s="44"/>
      <c r="K42" s="44"/>
      <c r="L42" s="44">
        <f t="shared" si="15"/>
        <v>0</v>
      </c>
      <c r="M42" s="44">
        <f>(L41-L42)/2</f>
        <v>0</v>
      </c>
      <c r="N42" s="45"/>
      <c r="O42" s="43"/>
      <c r="P42" s="44"/>
      <c r="Q42" s="44"/>
      <c r="R42" s="44">
        <f t="shared" si="13"/>
        <v>0</v>
      </c>
      <c r="S42" s="44">
        <f>(R41-R42)/2</f>
        <v>0</v>
      </c>
      <c r="T42" s="45"/>
      <c r="U42" s="43"/>
      <c r="V42" s="44"/>
      <c r="W42" s="44"/>
      <c r="X42" s="44">
        <f t="shared" si="14"/>
        <v>0</v>
      </c>
      <c r="Y42" s="44">
        <f>(X41-X42)/2</f>
        <v>0</v>
      </c>
      <c r="Z42" s="45"/>
      <c r="AA42" s="75"/>
      <c r="AB42" s="59"/>
    </row>
    <row r="43" spans="1:37" ht="12.75" customHeight="1">
      <c r="A43" s="15">
        <v>81</v>
      </c>
      <c r="B43" s="16">
        <v>73</v>
      </c>
      <c r="C43" s="38">
        <v>0.007</v>
      </c>
      <c r="D43" s="39">
        <v>0.007</v>
      </c>
      <c r="E43" s="39">
        <v>0.007</v>
      </c>
      <c r="F43" s="39">
        <f t="shared" si="12"/>
        <v>0.007</v>
      </c>
      <c r="G43" s="40"/>
      <c r="H43" s="41"/>
      <c r="I43" s="38"/>
      <c r="J43" s="39"/>
      <c r="K43" s="39"/>
      <c r="L43" s="39">
        <f t="shared" si="15"/>
        <v>0</v>
      </c>
      <c r="M43" s="40"/>
      <c r="N43" s="41"/>
      <c r="O43" s="42"/>
      <c r="P43" s="40"/>
      <c r="Q43" s="40"/>
      <c r="R43" s="39">
        <f t="shared" si="13"/>
        <v>0</v>
      </c>
      <c r="S43" s="40"/>
      <c r="T43" s="41"/>
      <c r="U43" s="42"/>
      <c r="V43" s="40"/>
      <c r="W43" s="40"/>
      <c r="X43" s="39">
        <f t="shared" si="14"/>
        <v>0</v>
      </c>
      <c r="Y43" s="40"/>
      <c r="Z43" s="41"/>
      <c r="AA43" s="74"/>
      <c r="AB43" s="59">
        <f t="shared" si="9"/>
        <v>0.008666666666666666</v>
      </c>
      <c r="AC43" s="55">
        <f t="shared" si="2"/>
        <v>0</v>
      </c>
      <c r="AD43" s="55">
        <f t="shared" si="3"/>
        <v>0.008666666666666666</v>
      </c>
      <c r="AE43" s="55">
        <f>IF(G44=0,999,G44)</f>
        <v>0.008666666666666666</v>
      </c>
      <c r="AF43" s="55">
        <f>IF(M44=0,999,M44)</f>
        <v>999</v>
      </c>
      <c r="AG43" s="55">
        <f>IF(S44=0,999,S44)</f>
        <v>999</v>
      </c>
      <c r="AH43" s="55">
        <f>IF(Y44=0,999,Y44)</f>
        <v>999</v>
      </c>
      <c r="AI43" s="55">
        <f>MIN(ABS(AE43),ABS(AF43),ABS(AG43),ABS(AH43))</f>
        <v>0.008666666666666666</v>
      </c>
      <c r="AJ43">
        <f>MATCH(AI43,AE43:AH43,0)</f>
        <v>1</v>
      </c>
      <c r="AK43" t="b">
        <f>ISNA(AJ43)</f>
        <v>0</v>
      </c>
    </row>
    <row r="44" spans="1:28" ht="12.75" customHeight="1">
      <c r="A44" s="19">
        <v>73</v>
      </c>
      <c r="B44" s="18">
        <v>81</v>
      </c>
      <c r="C44" s="43">
        <v>-0.01</v>
      </c>
      <c r="D44" s="44">
        <v>-0.01</v>
      </c>
      <c r="E44" s="44">
        <v>-0.011</v>
      </c>
      <c r="F44" s="44">
        <f t="shared" si="12"/>
        <v>-0.010333333333333333</v>
      </c>
      <c r="G44" s="44">
        <f>(F43-F44)/2</f>
        <v>0.008666666666666666</v>
      </c>
      <c r="H44" s="45"/>
      <c r="I44" s="43"/>
      <c r="J44" s="44"/>
      <c r="K44" s="44"/>
      <c r="L44" s="44">
        <f t="shared" si="15"/>
        <v>0</v>
      </c>
      <c r="M44" s="44">
        <f>(L43-L44)/2</f>
        <v>0</v>
      </c>
      <c r="N44" s="45"/>
      <c r="O44" s="43"/>
      <c r="P44" s="44"/>
      <c r="Q44" s="44"/>
      <c r="R44" s="44">
        <f t="shared" si="13"/>
        <v>0</v>
      </c>
      <c r="S44" s="44">
        <f>(R43-R44)/2</f>
        <v>0</v>
      </c>
      <c r="T44" s="45"/>
      <c r="U44" s="43"/>
      <c r="V44" s="44"/>
      <c r="W44" s="44"/>
      <c r="X44" s="44">
        <f t="shared" si="14"/>
        <v>0</v>
      </c>
      <c r="Y44" s="44">
        <f>(X43-X44)/2</f>
        <v>0</v>
      </c>
      <c r="Z44" s="45"/>
      <c r="AA44" s="75"/>
      <c r="AB44" s="59"/>
    </row>
    <row r="45" spans="1:37" ht="12.75" customHeight="1">
      <c r="A45" s="15">
        <v>84</v>
      </c>
      <c r="B45" s="16">
        <v>78</v>
      </c>
      <c r="C45" s="38">
        <v>-0.03</v>
      </c>
      <c r="D45" s="39">
        <v>-0.03</v>
      </c>
      <c r="E45" s="39">
        <v>-0.03</v>
      </c>
      <c r="F45" s="39">
        <f t="shared" si="12"/>
        <v>-0.03</v>
      </c>
      <c r="G45" s="40"/>
      <c r="H45" s="41"/>
      <c r="I45" s="38">
        <v>-0.012</v>
      </c>
      <c r="J45" s="39">
        <v>-0.011</v>
      </c>
      <c r="K45" s="39">
        <v>-0.01</v>
      </c>
      <c r="L45" s="39">
        <f t="shared" si="15"/>
        <v>-0.011000000000000001</v>
      </c>
      <c r="M45" s="40"/>
      <c r="N45" s="41"/>
      <c r="O45" s="42"/>
      <c r="P45" s="40"/>
      <c r="Q45" s="40"/>
      <c r="R45" s="39">
        <f t="shared" si="13"/>
        <v>0</v>
      </c>
      <c r="S45" s="40"/>
      <c r="T45" s="41"/>
      <c r="U45" s="42"/>
      <c r="V45" s="40"/>
      <c r="W45" s="40"/>
      <c r="X45" s="39">
        <f t="shared" si="14"/>
        <v>0</v>
      </c>
      <c r="Y45" s="40"/>
      <c r="Z45" s="41"/>
      <c r="AA45" s="74"/>
      <c r="AB45" s="59">
        <f t="shared" si="9"/>
        <v>-0.021</v>
      </c>
      <c r="AC45" s="55">
        <f t="shared" si="2"/>
        <v>-0.021</v>
      </c>
      <c r="AD45" s="55">
        <f t="shared" si="3"/>
        <v>-0.002000000000000001</v>
      </c>
      <c r="AE45" s="55">
        <f>IF(G46=0,999,G46)</f>
        <v>-0.021</v>
      </c>
      <c r="AF45" s="55">
        <f>IF(M46=0,999,M46)</f>
        <v>-0.002000000000000001</v>
      </c>
      <c r="AG45" s="55">
        <f>IF(S46=0,999,S46)</f>
        <v>999</v>
      </c>
      <c r="AH45" s="55">
        <f>IF(Y46=0,999,Y46)</f>
        <v>999</v>
      </c>
      <c r="AI45" s="55">
        <f>MIN(ABS(AE45),ABS(AF45),ABS(AG45),ABS(AH45))</f>
        <v>0.002000000000000001</v>
      </c>
      <c r="AJ45" t="e">
        <f>MATCH(AI45,AE45:AH45,0)</f>
        <v>#N/A</v>
      </c>
      <c r="AK45" t="b">
        <f>ISNA(AJ45)</f>
        <v>1</v>
      </c>
    </row>
    <row r="46" spans="1:28" ht="12.75" customHeight="1">
      <c r="A46" s="17">
        <v>78</v>
      </c>
      <c r="B46" s="18">
        <v>84</v>
      </c>
      <c r="C46" s="43">
        <v>0.013</v>
      </c>
      <c r="D46" s="44">
        <v>0.012</v>
      </c>
      <c r="E46" s="44">
        <v>0.011</v>
      </c>
      <c r="F46" s="44">
        <f t="shared" si="12"/>
        <v>0.012000000000000002</v>
      </c>
      <c r="G46" s="44">
        <f>(F45-F46)/2</f>
        <v>-0.021</v>
      </c>
      <c r="H46" s="45">
        <v>-0.021</v>
      </c>
      <c r="I46" s="43">
        <v>-0.01</v>
      </c>
      <c r="J46" s="44">
        <v>-0.005</v>
      </c>
      <c r="K46" s="44">
        <v>-0.006</v>
      </c>
      <c r="L46" s="44">
        <f t="shared" si="15"/>
        <v>-0.006999999999999999</v>
      </c>
      <c r="M46" s="44">
        <f>(L45-L46)/2</f>
        <v>-0.002000000000000001</v>
      </c>
      <c r="N46" s="45"/>
      <c r="O46" s="43"/>
      <c r="P46" s="44"/>
      <c r="Q46" s="44"/>
      <c r="R46" s="44">
        <f t="shared" si="13"/>
        <v>0</v>
      </c>
      <c r="S46" s="44">
        <f>(R45-R46)/2</f>
        <v>0</v>
      </c>
      <c r="T46" s="45"/>
      <c r="U46" s="43"/>
      <c r="V46" s="44"/>
      <c r="W46" s="44"/>
      <c r="X46" s="44">
        <f t="shared" si="14"/>
        <v>0</v>
      </c>
      <c r="Y46" s="44">
        <f>(X45-X46)/2</f>
        <v>0</v>
      </c>
      <c r="Z46" s="45"/>
      <c r="AA46" s="75"/>
      <c r="AB46" s="59"/>
    </row>
    <row r="47" spans="1:37" ht="12.75" customHeight="1">
      <c r="A47" s="15">
        <v>82</v>
      </c>
      <c r="B47" s="16">
        <v>74</v>
      </c>
      <c r="C47" s="38">
        <v>-0.036</v>
      </c>
      <c r="D47" s="39">
        <v>-0.036</v>
      </c>
      <c r="E47" s="39">
        <v>-0.036</v>
      </c>
      <c r="F47" s="39">
        <f t="shared" si="12"/>
        <v>-0.036</v>
      </c>
      <c r="G47" s="40"/>
      <c r="H47" s="41"/>
      <c r="I47" s="38">
        <v>-0.005</v>
      </c>
      <c r="J47" s="39">
        <v>-0.005</v>
      </c>
      <c r="K47" s="39">
        <v>-0.005</v>
      </c>
      <c r="L47" s="39">
        <f t="shared" si="15"/>
        <v>-0.005</v>
      </c>
      <c r="M47" s="40"/>
      <c r="N47" s="41"/>
      <c r="O47" s="42"/>
      <c r="P47" s="40"/>
      <c r="Q47" s="40"/>
      <c r="R47" s="39">
        <f t="shared" si="13"/>
        <v>0</v>
      </c>
      <c r="S47" s="40"/>
      <c r="T47" s="41"/>
      <c r="U47" s="42"/>
      <c r="V47" s="40"/>
      <c r="W47" s="40"/>
      <c r="X47" s="39">
        <f t="shared" si="14"/>
        <v>0</v>
      </c>
      <c r="Y47" s="40"/>
      <c r="Z47" s="41"/>
      <c r="AA47" s="74"/>
      <c r="AB47" s="59">
        <f t="shared" si="9"/>
        <v>-0.028999999999999998</v>
      </c>
      <c r="AC47" s="55">
        <f t="shared" si="2"/>
        <v>-0.029</v>
      </c>
      <c r="AD47" s="55">
        <f t="shared" si="3"/>
        <v>-0.003</v>
      </c>
      <c r="AE47" s="55">
        <f>IF(G48=0,999,G48)</f>
        <v>-0.028999999999999998</v>
      </c>
      <c r="AF47" s="55">
        <f>IF(M48=0,999,M48)</f>
        <v>-0.003</v>
      </c>
      <c r="AG47" s="55">
        <f>IF(S48=0,999,S48)</f>
        <v>999</v>
      </c>
      <c r="AH47" s="55">
        <f>IF(Y48=0,999,Y48)</f>
        <v>999</v>
      </c>
      <c r="AI47" s="55">
        <f>MIN(ABS(AE47),ABS(AF47),ABS(AG47),ABS(AH47))</f>
        <v>0.003</v>
      </c>
      <c r="AJ47" t="e">
        <f>MATCH(AI47,AE47:AH47,0)</f>
        <v>#N/A</v>
      </c>
      <c r="AK47" t="b">
        <f>ISNA(AJ47)</f>
        <v>1</v>
      </c>
    </row>
    <row r="48" spans="1:28" ht="12.75" customHeight="1">
      <c r="A48" s="17">
        <v>74</v>
      </c>
      <c r="B48" s="18">
        <v>82</v>
      </c>
      <c r="C48" s="43">
        <v>0.022</v>
      </c>
      <c r="D48" s="44">
        <v>0.022</v>
      </c>
      <c r="E48" s="44">
        <v>0.022</v>
      </c>
      <c r="F48" s="44">
        <f t="shared" si="12"/>
        <v>0.022000000000000002</v>
      </c>
      <c r="G48" s="44">
        <f>(F47-F48)/2</f>
        <v>-0.028999999999999998</v>
      </c>
      <c r="H48" s="45">
        <v>-0.029</v>
      </c>
      <c r="I48" s="43">
        <v>0.001</v>
      </c>
      <c r="J48" s="44">
        <v>0.001</v>
      </c>
      <c r="K48" s="44">
        <v>0.001</v>
      </c>
      <c r="L48" s="44">
        <f t="shared" si="15"/>
        <v>0.001</v>
      </c>
      <c r="M48" s="44">
        <f>(L47-L48)/2</f>
        <v>-0.003</v>
      </c>
      <c r="N48" s="45"/>
      <c r="O48" s="43"/>
      <c r="P48" s="44"/>
      <c r="Q48" s="44"/>
      <c r="R48" s="44">
        <f t="shared" si="13"/>
        <v>0</v>
      </c>
      <c r="S48" s="44">
        <f>(R47-R48)/2</f>
        <v>0</v>
      </c>
      <c r="T48" s="45"/>
      <c r="U48" s="43"/>
      <c r="V48" s="44"/>
      <c r="W48" s="44"/>
      <c r="X48" s="44">
        <f t="shared" si="14"/>
        <v>0</v>
      </c>
      <c r="Y48" s="44">
        <f>(X47-X48)/2</f>
        <v>0</v>
      </c>
      <c r="Z48" s="45"/>
      <c r="AA48" s="75"/>
      <c r="AB48" s="59"/>
    </row>
    <row r="49" spans="1:37" ht="12.75" customHeight="1">
      <c r="A49" s="15">
        <v>86</v>
      </c>
      <c r="B49" s="16">
        <v>82</v>
      </c>
      <c r="C49" s="38"/>
      <c r="D49" s="39"/>
      <c r="E49" s="39"/>
      <c r="F49" s="39">
        <f t="shared" si="12"/>
        <v>0</v>
      </c>
      <c r="G49" s="40"/>
      <c r="H49" s="41"/>
      <c r="I49" s="38"/>
      <c r="J49" s="39"/>
      <c r="K49" s="39"/>
      <c r="L49" s="39">
        <f t="shared" si="15"/>
        <v>0</v>
      </c>
      <c r="M49" s="40"/>
      <c r="N49" s="41"/>
      <c r="O49" s="42"/>
      <c r="P49" s="40"/>
      <c r="Q49" s="40"/>
      <c r="R49" s="39">
        <f t="shared" si="13"/>
        <v>0</v>
      </c>
      <c r="S49" s="40"/>
      <c r="T49" s="41"/>
      <c r="U49" s="42"/>
      <c r="V49" s="40"/>
      <c r="W49" s="40"/>
      <c r="X49" s="39">
        <f t="shared" si="14"/>
        <v>0</v>
      </c>
      <c r="Y49" s="40"/>
      <c r="Z49" s="41"/>
      <c r="AA49" s="74"/>
      <c r="AB49" s="59">
        <f t="shared" si="9"/>
        <v>0</v>
      </c>
      <c r="AC49" s="55">
        <f t="shared" si="2"/>
        <v>0</v>
      </c>
      <c r="AD49" s="55">
        <f t="shared" si="3"/>
        <v>999</v>
      </c>
      <c r="AE49" s="55">
        <f>IF(G50=0,999,G50)</f>
        <v>999</v>
      </c>
      <c r="AF49" s="55">
        <f>IF(M50=0,999,M50)</f>
        <v>999</v>
      </c>
      <c r="AG49" s="55">
        <f>IF(S50=0,999,S50)</f>
        <v>999</v>
      </c>
      <c r="AH49" s="55">
        <f>IF(Y50=0,999,Y50)</f>
        <v>999</v>
      </c>
      <c r="AI49" s="55">
        <f>MIN(ABS(AE49),ABS(AF49),ABS(AG49),ABS(AH49))</f>
        <v>999</v>
      </c>
      <c r="AJ49">
        <f>MATCH(AI49,AE49:AH49,0)</f>
        <v>1</v>
      </c>
      <c r="AK49" t="b">
        <f>ISNA(AJ49)</f>
        <v>0</v>
      </c>
    </row>
    <row r="50" spans="1:28" ht="12.75" customHeight="1">
      <c r="A50" s="17">
        <v>82</v>
      </c>
      <c r="B50" s="18">
        <v>86</v>
      </c>
      <c r="C50" s="43"/>
      <c r="D50" s="44"/>
      <c r="E50" s="44"/>
      <c r="F50" s="44">
        <f t="shared" si="12"/>
        <v>0</v>
      </c>
      <c r="G50" s="44">
        <f>(F49-F50)/2</f>
        <v>0</v>
      </c>
      <c r="H50" s="45"/>
      <c r="I50" s="43"/>
      <c r="J50" s="44"/>
      <c r="K50" s="44"/>
      <c r="L50" s="44">
        <f t="shared" si="15"/>
        <v>0</v>
      </c>
      <c r="M50" s="44">
        <f>(L49-L50)/2</f>
        <v>0</v>
      </c>
      <c r="N50" s="45"/>
      <c r="O50" s="43"/>
      <c r="P50" s="44"/>
      <c r="Q50" s="44"/>
      <c r="R50" s="44">
        <f t="shared" si="13"/>
        <v>0</v>
      </c>
      <c r="S50" s="44">
        <f>(R49-R50)/2</f>
        <v>0</v>
      </c>
      <c r="T50" s="45"/>
      <c r="U50" s="43"/>
      <c r="V50" s="44"/>
      <c r="W50" s="44"/>
      <c r="X50" s="44">
        <f t="shared" si="14"/>
        <v>0</v>
      </c>
      <c r="Y50" s="44">
        <f>(X49-X50)/2</f>
        <v>0</v>
      </c>
      <c r="Z50" s="45"/>
      <c r="AA50" s="75"/>
      <c r="AB50" s="59"/>
    </row>
    <row r="51" spans="1:37" ht="12.75" customHeight="1">
      <c r="A51" s="15">
        <v>60</v>
      </c>
      <c r="B51" s="16">
        <v>49</v>
      </c>
      <c r="C51" s="38">
        <v>-0.044</v>
      </c>
      <c r="D51" s="39">
        <v>-0.044</v>
      </c>
      <c r="E51" s="39">
        <v>-0.044</v>
      </c>
      <c r="F51" s="39">
        <f t="shared" si="12"/>
        <v>-0.044000000000000004</v>
      </c>
      <c r="G51" s="40"/>
      <c r="H51" s="41"/>
      <c r="I51" s="38">
        <v>-0.011</v>
      </c>
      <c r="J51" s="39">
        <v>-0.011</v>
      </c>
      <c r="K51" s="39">
        <v>-0.011</v>
      </c>
      <c r="L51" s="39">
        <f t="shared" si="15"/>
        <v>-0.011000000000000001</v>
      </c>
      <c r="M51" s="40"/>
      <c r="N51" s="41"/>
      <c r="O51" s="42"/>
      <c r="P51" s="40"/>
      <c r="Q51" s="40"/>
      <c r="R51" s="39">
        <f t="shared" si="13"/>
        <v>0</v>
      </c>
      <c r="S51" s="40"/>
      <c r="T51" s="41"/>
      <c r="U51" s="42"/>
      <c r="V51" s="40"/>
      <c r="W51" s="40"/>
      <c r="X51" s="39">
        <f t="shared" si="14"/>
        <v>0</v>
      </c>
      <c r="Y51" s="40"/>
      <c r="Z51" s="41"/>
      <c r="AA51" s="74"/>
      <c r="AB51" s="59">
        <f t="shared" si="9"/>
        <v>-0.03900000000000001</v>
      </c>
      <c r="AC51" s="55">
        <f t="shared" si="2"/>
        <v>-0.039</v>
      </c>
      <c r="AD51" s="55">
        <f t="shared" si="3"/>
        <v>-0.0045000000000000005</v>
      </c>
      <c r="AE51" s="55">
        <f>IF(G52=0,999,G52)</f>
        <v>-0.03900000000000001</v>
      </c>
      <c r="AF51" s="55">
        <f>IF(M52=0,999,M52)</f>
        <v>-0.0045000000000000005</v>
      </c>
      <c r="AG51" s="55">
        <f>IF(S52=0,999,S52)</f>
        <v>999</v>
      </c>
      <c r="AH51" s="55">
        <f>IF(Y52=0,999,Y52)</f>
        <v>999</v>
      </c>
      <c r="AI51" s="55">
        <f>MIN(ABS(AE51),ABS(AF51),ABS(AG51),ABS(AH51))</f>
        <v>0.0045000000000000005</v>
      </c>
      <c r="AJ51" t="e">
        <f>MATCH(AI51,AE51:AH51,0)</f>
        <v>#N/A</v>
      </c>
      <c r="AK51" t="b">
        <f>ISNA(AJ51)</f>
        <v>1</v>
      </c>
    </row>
    <row r="52" spans="1:28" ht="12.75" customHeight="1">
      <c r="A52" s="17">
        <v>49</v>
      </c>
      <c r="B52" s="18">
        <v>60</v>
      </c>
      <c r="C52" s="43">
        <v>0.034</v>
      </c>
      <c r="D52" s="44">
        <v>0.034</v>
      </c>
      <c r="E52" s="44">
        <v>0.034</v>
      </c>
      <c r="F52" s="44">
        <f t="shared" si="12"/>
        <v>0.034</v>
      </c>
      <c r="G52" s="44">
        <f>(F51-F52)/2</f>
        <v>-0.03900000000000001</v>
      </c>
      <c r="H52" s="45">
        <v>-0.039</v>
      </c>
      <c r="I52" s="43">
        <v>-0.002</v>
      </c>
      <c r="J52" s="44">
        <v>-0.002</v>
      </c>
      <c r="K52" s="44">
        <v>-0.002</v>
      </c>
      <c r="L52" s="44">
        <f t="shared" si="15"/>
        <v>-0.002</v>
      </c>
      <c r="M52" s="44">
        <f>(L51-L52)/2</f>
        <v>-0.0045000000000000005</v>
      </c>
      <c r="N52" s="45"/>
      <c r="O52" s="43"/>
      <c r="P52" s="44"/>
      <c r="Q52" s="44"/>
      <c r="R52" s="44">
        <f t="shared" si="13"/>
        <v>0</v>
      </c>
      <c r="S52" s="44">
        <f>(R51-R52)/2</f>
        <v>0</v>
      </c>
      <c r="T52" s="45"/>
      <c r="U52" s="43"/>
      <c r="V52" s="44"/>
      <c r="W52" s="44"/>
      <c r="X52" s="44">
        <f t="shared" si="14"/>
        <v>0</v>
      </c>
      <c r="Y52" s="44">
        <f>(X51-X52)/2</f>
        <v>0</v>
      </c>
      <c r="Z52" s="45"/>
      <c r="AA52" s="75"/>
      <c r="AB52" s="59"/>
    </row>
    <row r="53" spans="1:37" ht="12.75" customHeight="1">
      <c r="A53" s="15">
        <v>55</v>
      </c>
      <c r="B53" s="16">
        <v>49</v>
      </c>
      <c r="C53" s="38">
        <v>-0.06</v>
      </c>
      <c r="D53" s="39">
        <v>-0.06</v>
      </c>
      <c r="E53" s="39">
        <v>-0.06</v>
      </c>
      <c r="F53" s="39">
        <f t="shared" si="12"/>
        <v>-0.06</v>
      </c>
      <c r="G53" s="40"/>
      <c r="H53" s="41"/>
      <c r="I53" s="38">
        <v>-0.003</v>
      </c>
      <c r="J53" s="39">
        <v>-0.003</v>
      </c>
      <c r="K53" s="39">
        <v>-0.003</v>
      </c>
      <c r="L53" s="39">
        <f t="shared" si="15"/>
        <v>-0.0030000000000000005</v>
      </c>
      <c r="M53" s="40"/>
      <c r="N53" s="41"/>
      <c r="O53" s="42"/>
      <c r="P53" s="40"/>
      <c r="Q53" s="40"/>
      <c r="R53" s="39">
        <f t="shared" si="13"/>
        <v>0</v>
      </c>
      <c r="S53" s="40"/>
      <c r="T53" s="41"/>
      <c r="U53" s="42"/>
      <c r="V53" s="40"/>
      <c r="W53" s="40"/>
      <c r="X53" s="39">
        <f t="shared" si="14"/>
        <v>0</v>
      </c>
      <c r="Y53" s="40"/>
      <c r="Z53" s="41"/>
      <c r="AA53" s="74"/>
      <c r="AB53" s="59">
        <f t="shared" si="9"/>
        <v>-0.053000000000000005</v>
      </c>
      <c r="AC53" s="55">
        <f t="shared" si="2"/>
        <v>-0.053</v>
      </c>
      <c r="AD53" s="55">
        <f t="shared" si="3"/>
        <v>0.00033333333333333305</v>
      </c>
      <c r="AE53" s="55">
        <f>IF(G54=0,999,G54)</f>
        <v>-0.053000000000000005</v>
      </c>
      <c r="AF53" s="55">
        <f>IF(M54=0,999,M54)</f>
        <v>0.00033333333333333305</v>
      </c>
      <c r="AG53" s="55">
        <f>IF(S54=0,999,S54)</f>
        <v>999</v>
      </c>
      <c r="AH53" s="55">
        <f>IF(Y54=0,999,Y54)</f>
        <v>999</v>
      </c>
      <c r="AI53" s="55">
        <f>MIN(ABS(AE53),ABS(AF53),ABS(AG53),ABS(AH53))</f>
        <v>0.00033333333333333305</v>
      </c>
      <c r="AJ53">
        <f>MATCH(AI53,AE53:AH53,0)</f>
        <v>2</v>
      </c>
      <c r="AK53" t="b">
        <f>ISNA(AJ53)</f>
        <v>0</v>
      </c>
    </row>
    <row r="54" spans="1:28" ht="12.75" customHeight="1">
      <c r="A54" s="17">
        <v>49</v>
      </c>
      <c r="B54" s="18">
        <v>55</v>
      </c>
      <c r="C54" s="43">
        <v>0.046</v>
      </c>
      <c r="D54" s="44">
        <v>0.046</v>
      </c>
      <c r="E54" s="44">
        <v>0.046</v>
      </c>
      <c r="F54" s="44">
        <f t="shared" si="12"/>
        <v>0.046000000000000006</v>
      </c>
      <c r="G54" s="44">
        <f>(F53-F54)/2</f>
        <v>-0.053000000000000005</v>
      </c>
      <c r="H54" s="45">
        <v>-0.053</v>
      </c>
      <c r="I54" s="43">
        <v>-0.003</v>
      </c>
      <c r="J54" s="44">
        <v>-0.003</v>
      </c>
      <c r="K54" s="44">
        <v>-0.005</v>
      </c>
      <c r="L54" s="44">
        <f t="shared" si="15"/>
        <v>-0.0036666666666666666</v>
      </c>
      <c r="M54" s="44">
        <f>(L53-L54)/2</f>
        <v>0.00033333333333333305</v>
      </c>
      <c r="N54" s="45"/>
      <c r="O54" s="43"/>
      <c r="P54" s="44"/>
      <c r="Q54" s="44"/>
      <c r="R54" s="44">
        <f t="shared" si="13"/>
        <v>0</v>
      </c>
      <c r="S54" s="44">
        <f>(R53-R54)/2</f>
        <v>0</v>
      </c>
      <c r="T54" s="45"/>
      <c r="U54" s="43"/>
      <c r="V54" s="44"/>
      <c r="W54" s="44"/>
      <c r="X54" s="44">
        <f t="shared" si="14"/>
        <v>0</v>
      </c>
      <c r="Y54" s="44">
        <f>(X53-X54)/2</f>
        <v>0</v>
      </c>
      <c r="Z54" s="45"/>
      <c r="AA54" s="75"/>
      <c r="AB54" s="59"/>
    </row>
    <row r="55" spans="1:37" ht="12.75" customHeight="1">
      <c r="A55" s="15">
        <v>66</v>
      </c>
      <c r="B55" s="16">
        <v>55</v>
      </c>
      <c r="C55" s="51">
        <v>-0.054</v>
      </c>
      <c r="D55" s="53">
        <v>-0.054</v>
      </c>
      <c r="E55" s="53">
        <v>-0.053</v>
      </c>
      <c r="F55" s="39">
        <f t="shared" si="12"/>
        <v>-0.05366666666666667</v>
      </c>
      <c r="G55" s="40"/>
      <c r="H55" s="41"/>
      <c r="I55" s="38">
        <v>-0.002</v>
      </c>
      <c r="J55" s="39">
        <v>-0.002</v>
      </c>
      <c r="K55" s="39">
        <v>-0.002</v>
      </c>
      <c r="L55" s="39">
        <f t="shared" si="15"/>
        <v>-0.002</v>
      </c>
      <c r="M55" s="40"/>
      <c r="N55" s="41"/>
      <c r="O55" s="42"/>
      <c r="P55" s="40"/>
      <c r="Q55" s="40"/>
      <c r="R55" s="39">
        <f t="shared" si="13"/>
        <v>0</v>
      </c>
      <c r="S55" s="40"/>
      <c r="T55" s="41"/>
      <c r="U55" s="42"/>
      <c r="V55" s="40"/>
      <c r="W55" s="40"/>
      <c r="X55" s="39">
        <f t="shared" si="14"/>
        <v>0</v>
      </c>
      <c r="Y55" s="40"/>
      <c r="Z55" s="41"/>
      <c r="AA55" s="74"/>
      <c r="AB55" s="59">
        <f t="shared" si="9"/>
        <v>-0.04883333333333334</v>
      </c>
      <c r="AC55" s="55">
        <f t="shared" si="2"/>
        <v>-0.049</v>
      </c>
      <c r="AD55" s="55">
        <f t="shared" si="3"/>
        <v>0.001166666666666667</v>
      </c>
      <c r="AE55" s="55">
        <f>IF(G56=0,999,G56)</f>
        <v>-0.04883333333333334</v>
      </c>
      <c r="AF55" s="55">
        <f>IF(M56=0,999,M56)</f>
        <v>0.001166666666666667</v>
      </c>
      <c r="AG55" s="55">
        <f>IF(S56=0,999,S56)</f>
        <v>999</v>
      </c>
      <c r="AH55" s="55">
        <f>IF(Y56=0,999,Y56)</f>
        <v>999</v>
      </c>
      <c r="AI55" s="55">
        <f>MIN(ABS(AE55),ABS(AF55),ABS(AG55),ABS(AH55))</f>
        <v>0.001166666666666667</v>
      </c>
      <c r="AJ55">
        <f>MATCH(AI55,AE55:AH55,0)</f>
        <v>2</v>
      </c>
      <c r="AK55" t="b">
        <f>ISNA(AJ55)</f>
        <v>0</v>
      </c>
    </row>
    <row r="56" spans="1:28" ht="12.75" customHeight="1">
      <c r="A56" s="17">
        <v>55</v>
      </c>
      <c r="B56" s="18">
        <v>66</v>
      </c>
      <c r="C56" s="43">
        <v>0.044</v>
      </c>
      <c r="D56" s="44">
        <v>0.044</v>
      </c>
      <c r="E56" s="44">
        <v>0.044</v>
      </c>
      <c r="F56" s="44">
        <f t="shared" si="12"/>
        <v>0.044000000000000004</v>
      </c>
      <c r="G56" s="44">
        <f>(F55-F56)/2</f>
        <v>-0.04883333333333334</v>
      </c>
      <c r="H56" s="45">
        <v>-0.049</v>
      </c>
      <c r="I56" s="43">
        <v>-0.003</v>
      </c>
      <c r="J56" s="44">
        <v>-0.005</v>
      </c>
      <c r="K56" s="44">
        <v>-0.005</v>
      </c>
      <c r="L56" s="44">
        <f t="shared" si="15"/>
        <v>-0.004333333333333334</v>
      </c>
      <c r="M56" s="44">
        <f>(L55-L56)/2</f>
        <v>0.001166666666666667</v>
      </c>
      <c r="N56" s="45"/>
      <c r="O56" s="43"/>
      <c r="P56" s="44"/>
      <c r="Q56" s="44"/>
      <c r="R56" s="44">
        <f t="shared" si="13"/>
        <v>0</v>
      </c>
      <c r="S56" s="44">
        <f>(R55-R56)/2</f>
        <v>0</v>
      </c>
      <c r="T56" s="45"/>
      <c r="U56" s="43"/>
      <c r="V56" s="44"/>
      <c r="W56" s="44"/>
      <c r="X56" s="44">
        <f t="shared" si="14"/>
        <v>0</v>
      </c>
      <c r="Y56" s="44">
        <f>(X55-X56)/2</f>
        <v>0</v>
      </c>
      <c r="Z56" s="45"/>
      <c r="AA56" s="75"/>
      <c r="AB56" s="59"/>
    </row>
    <row r="57" spans="1:37" ht="12.75" customHeight="1">
      <c r="A57" s="15">
        <v>61</v>
      </c>
      <c r="B57" s="16"/>
      <c r="C57" s="38">
        <v>-0.052</v>
      </c>
      <c r="D57" s="39">
        <v>-0.052</v>
      </c>
      <c r="E57" s="39">
        <v>-0.052</v>
      </c>
      <c r="F57" s="39">
        <f t="shared" si="12"/>
        <v>-0.052</v>
      </c>
      <c r="G57" s="40"/>
      <c r="H57" s="41"/>
      <c r="I57" s="38">
        <v>-0.007</v>
      </c>
      <c r="J57" s="39">
        <v>-0.007</v>
      </c>
      <c r="K57" s="39">
        <v>-0.007</v>
      </c>
      <c r="L57" s="39">
        <f t="shared" si="15"/>
        <v>-0.007</v>
      </c>
      <c r="M57" s="40"/>
      <c r="N57" s="41"/>
      <c r="O57" s="42"/>
      <c r="P57" s="40"/>
      <c r="Q57" s="40"/>
      <c r="R57" s="39">
        <f t="shared" si="13"/>
        <v>0</v>
      </c>
      <c r="S57" s="40"/>
      <c r="T57" s="41"/>
      <c r="U57" s="42"/>
      <c r="V57" s="40"/>
      <c r="W57" s="40"/>
      <c r="X57" s="39">
        <f t="shared" si="14"/>
        <v>0</v>
      </c>
      <c r="Y57" s="40"/>
      <c r="Z57" s="41"/>
      <c r="AA57" s="74"/>
      <c r="AB57" s="59">
        <f t="shared" si="9"/>
        <v>-0.042666666666666665</v>
      </c>
      <c r="AC57" s="55">
        <f t="shared" si="2"/>
        <v>-0.043</v>
      </c>
      <c r="AD57" s="55">
        <f t="shared" si="3"/>
        <v>-0.003</v>
      </c>
      <c r="AE57" s="55">
        <f>IF(G58=0,999,G58)</f>
        <v>-0.042666666666666665</v>
      </c>
      <c r="AF57" s="55">
        <f>IF(M58=0,999,M58)</f>
        <v>-0.003</v>
      </c>
      <c r="AG57" s="55">
        <f>IF(S58=0,999,S58)</f>
        <v>999</v>
      </c>
      <c r="AH57" s="55">
        <f>IF(Y58=0,999,Y58)</f>
        <v>999</v>
      </c>
      <c r="AI57" s="55">
        <f>MIN(ABS(AE57),ABS(AF57),ABS(AG57),ABS(AH57))</f>
        <v>0.003</v>
      </c>
      <c r="AJ57" t="e">
        <f>MATCH(AI57,AE57:AH57,0)</f>
        <v>#N/A</v>
      </c>
      <c r="AK57" t="b">
        <f>ISNA(AJ57)</f>
        <v>1</v>
      </c>
    </row>
    <row r="58" spans="1:28" ht="12.75" customHeight="1">
      <c r="A58" s="17">
        <v>55</v>
      </c>
      <c r="B58" s="18">
        <v>61</v>
      </c>
      <c r="C58" s="43">
        <v>0.034</v>
      </c>
      <c r="D58" s="44">
        <v>0.033</v>
      </c>
      <c r="E58" s="44">
        <v>0.033</v>
      </c>
      <c r="F58" s="44">
        <f t="shared" si="12"/>
        <v>0.03333333333333333</v>
      </c>
      <c r="G58" s="44">
        <f>(F57-F58)/2</f>
        <v>-0.042666666666666665</v>
      </c>
      <c r="H58" s="45">
        <v>-0.043</v>
      </c>
      <c r="I58" s="43">
        <v>-0.001</v>
      </c>
      <c r="J58" s="44">
        <v>-0.001</v>
      </c>
      <c r="K58" s="44">
        <v>-0.001</v>
      </c>
      <c r="L58" s="44">
        <f t="shared" si="15"/>
        <v>-0.001</v>
      </c>
      <c r="M58" s="44">
        <f>(L57-L58)/2</f>
        <v>-0.003</v>
      </c>
      <c r="N58" s="45"/>
      <c r="O58" s="43"/>
      <c r="P58" s="44"/>
      <c r="Q58" s="44"/>
      <c r="R58" s="44">
        <f t="shared" si="13"/>
        <v>0</v>
      </c>
      <c r="S58" s="44">
        <f>(R57-R58)/2</f>
        <v>0</v>
      </c>
      <c r="T58" s="45"/>
      <c r="U58" s="43"/>
      <c r="V58" s="44"/>
      <c r="W58" s="44"/>
      <c r="X58" s="44">
        <f t="shared" si="14"/>
        <v>0</v>
      </c>
      <c r="Y58" s="44">
        <f>(X57-X58)/2</f>
        <v>0</v>
      </c>
      <c r="Z58" s="45"/>
      <c r="AA58" s="75"/>
      <c r="AB58" s="59"/>
    </row>
    <row r="59" spans="1:37" ht="12.75" customHeight="1">
      <c r="A59" s="15">
        <v>71</v>
      </c>
      <c r="B59" s="16">
        <v>61</v>
      </c>
      <c r="C59" s="51">
        <v>-0.054</v>
      </c>
      <c r="D59" s="39">
        <v>-0.054</v>
      </c>
      <c r="E59" s="39">
        <v>-0.054</v>
      </c>
      <c r="F59" s="39">
        <f t="shared" si="12"/>
        <v>-0.054</v>
      </c>
      <c r="G59" s="40"/>
      <c r="H59" s="41"/>
      <c r="I59" s="38">
        <v>-0.01</v>
      </c>
      <c r="J59" s="39">
        <v>-0.01</v>
      </c>
      <c r="K59" s="39">
        <v>-0.01</v>
      </c>
      <c r="L59" s="39">
        <f t="shared" si="15"/>
        <v>-0.01</v>
      </c>
      <c r="M59" s="40"/>
      <c r="N59" s="41"/>
      <c r="O59" s="42"/>
      <c r="P59" s="40"/>
      <c r="Q59" s="40"/>
      <c r="R59" s="39">
        <f t="shared" si="13"/>
        <v>0</v>
      </c>
      <c r="S59" s="40"/>
      <c r="T59" s="41"/>
      <c r="U59" s="42"/>
      <c r="V59" s="40"/>
      <c r="W59" s="40"/>
      <c r="X59" s="39">
        <f t="shared" si="14"/>
        <v>0</v>
      </c>
      <c r="Y59" s="40"/>
      <c r="Z59" s="41"/>
      <c r="AA59" s="74"/>
      <c r="AB59" s="59">
        <f t="shared" si="9"/>
        <v>-0.04733333333333333</v>
      </c>
      <c r="AC59" s="55">
        <f t="shared" si="2"/>
        <v>-0.047</v>
      </c>
      <c r="AD59" s="55">
        <f t="shared" si="3"/>
        <v>-0.006833333333333334</v>
      </c>
      <c r="AE59" s="55">
        <f>IF(G60=0,999,G60)</f>
        <v>-0.04733333333333333</v>
      </c>
      <c r="AF59" s="55">
        <f>IF(M60=0,999,M60)</f>
        <v>-0.006833333333333334</v>
      </c>
      <c r="AG59" s="55">
        <f>IF(S60=0,999,S60)</f>
        <v>999</v>
      </c>
      <c r="AH59" s="55">
        <f>IF(Y60=0,999,Y60)</f>
        <v>999</v>
      </c>
      <c r="AI59" s="55">
        <f>MIN(ABS(AE59),ABS(AF59),ABS(AG59),ABS(AH59))</f>
        <v>0.006833333333333334</v>
      </c>
      <c r="AJ59" t="e">
        <f>MATCH(AI59,AE59:AH59,0)</f>
        <v>#N/A</v>
      </c>
      <c r="AK59" t="b">
        <f>ISNA(AJ59)</f>
        <v>1</v>
      </c>
    </row>
    <row r="60" spans="1:28" ht="12.75" customHeight="1">
      <c r="A60" s="17">
        <v>61</v>
      </c>
      <c r="B60" s="18">
        <v>71</v>
      </c>
      <c r="C60" s="43">
        <v>0.041</v>
      </c>
      <c r="D60" s="44">
        <v>0.041</v>
      </c>
      <c r="E60" s="44">
        <v>0.04</v>
      </c>
      <c r="F60" s="44">
        <f t="shared" si="12"/>
        <v>0.04066666666666666</v>
      </c>
      <c r="G60" s="44">
        <f>(F59-F60)/2</f>
        <v>-0.04733333333333333</v>
      </c>
      <c r="H60" s="45">
        <v>-0.047</v>
      </c>
      <c r="I60" s="43">
        <v>0.005</v>
      </c>
      <c r="J60" s="44">
        <v>0.003</v>
      </c>
      <c r="K60" s="44">
        <v>0.003</v>
      </c>
      <c r="L60" s="44">
        <f t="shared" si="15"/>
        <v>0.0036666666666666666</v>
      </c>
      <c r="M60" s="44">
        <f>(L59-L60)/2</f>
        <v>-0.006833333333333334</v>
      </c>
      <c r="N60" s="45"/>
      <c r="O60" s="43"/>
      <c r="P60" s="44"/>
      <c r="Q60" s="44"/>
      <c r="R60" s="44">
        <f t="shared" si="13"/>
        <v>0</v>
      </c>
      <c r="S60" s="44">
        <f>(R59-R60)/2</f>
        <v>0</v>
      </c>
      <c r="T60" s="45"/>
      <c r="U60" s="43"/>
      <c r="V60" s="44"/>
      <c r="W60" s="44"/>
      <c r="X60" s="44">
        <f t="shared" si="14"/>
        <v>0</v>
      </c>
      <c r="Y60" s="44">
        <f>(X59-X60)/2</f>
        <v>0</v>
      </c>
      <c r="Z60" s="45"/>
      <c r="AA60" s="75"/>
      <c r="AB60" s="59"/>
    </row>
    <row r="61" spans="1:37" ht="12.75" customHeight="1">
      <c r="A61" s="15">
        <v>67</v>
      </c>
      <c r="B61" s="16">
        <v>61</v>
      </c>
      <c r="C61" s="51">
        <v>-0.128</v>
      </c>
      <c r="D61" s="39">
        <v>-0.128</v>
      </c>
      <c r="E61" s="39">
        <v>-0.128</v>
      </c>
      <c r="F61" s="39">
        <f t="shared" si="12"/>
        <v>-0.128</v>
      </c>
      <c r="G61" s="40"/>
      <c r="H61" s="41"/>
      <c r="I61" s="38">
        <v>-0.007</v>
      </c>
      <c r="J61" s="39">
        <v>-0.007</v>
      </c>
      <c r="K61" s="39">
        <v>-0.007</v>
      </c>
      <c r="L61" s="39">
        <f t="shared" si="15"/>
        <v>-0.007</v>
      </c>
      <c r="M61" s="40"/>
      <c r="N61" s="41"/>
      <c r="O61" s="42"/>
      <c r="P61" s="40"/>
      <c r="Q61" s="40"/>
      <c r="R61" s="39">
        <f t="shared" si="13"/>
        <v>0</v>
      </c>
      <c r="S61" s="40"/>
      <c r="T61" s="41"/>
      <c r="U61" s="42"/>
      <c r="V61" s="40"/>
      <c r="W61" s="40"/>
      <c r="X61" s="39">
        <f t="shared" si="14"/>
        <v>0</v>
      </c>
      <c r="Y61" s="40"/>
      <c r="Z61" s="41"/>
      <c r="AA61" s="76"/>
      <c r="AB61" s="59">
        <f t="shared" si="9"/>
        <v>-0.1245</v>
      </c>
      <c r="AC61" s="55">
        <f t="shared" si="2"/>
        <v>-0.125</v>
      </c>
      <c r="AD61" s="55">
        <f t="shared" si="3"/>
        <v>-0.001</v>
      </c>
      <c r="AE61" s="55">
        <f>IF(G62=0,999,G62)</f>
        <v>-0.1245</v>
      </c>
      <c r="AF61" s="55">
        <f>IF(M62=0,999,M62)</f>
        <v>-0.001</v>
      </c>
      <c r="AG61" s="55">
        <f>IF(S62=0,999,S62)</f>
        <v>999</v>
      </c>
      <c r="AH61" s="55">
        <f>IF(Y62=0,999,Y62)</f>
        <v>999</v>
      </c>
      <c r="AI61" s="55">
        <f>MIN(ABS(AE61),ABS(AF61),ABS(AG61),ABS(AH61))</f>
        <v>0.001</v>
      </c>
      <c r="AJ61" t="e">
        <f>MATCH(AI61,AE61:AH61,0)</f>
        <v>#N/A</v>
      </c>
      <c r="AK61" t="b">
        <f>ISNA(AJ61)</f>
        <v>1</v>
      </c>
    </row>
    <row r="62" spans="1:28" ht="12.75" customHeight="1">
      <c r="A62" s="17">
        <v>61</v>
      </c>
      <c r="B62" s="18">
        <v>67</v>
      </c>
      <c r="C62" s="43">
        <v>0.121</v>
      </c>
      <c r="D62" s="44">
        <v>0.121</v>
      </c>
      <c r="E62" s="44">
        <v>0.121</v>
      </c>
      <c r="F62" s="44">
        <f t="shared" si="12"/>
        <v>0.121</v>
      </c>
      <c r="G62" s="44">
        <f>(F61-F62)/2</f>
        <v>-0.1245</v>
      </c>
      <c r="H62" s="45">
        <v>-0.125</v>
      </c>
      <c r="I62" s="43">
        <v>-0.005</v>
      </c>
      <c r="J62" s="44">
        <v>-0.005</v>
      </c>
      <c r="K62" s="44">
        <v>-0.005</v>
      </c>
      <c r="L62" s="44">
        <f t="shared" si="15"/>
        <v>-0.005</v>
      </c>
      <c r="M62" s="44">
        <f>(L61-L62)/2</f>
        <v>-0.001</v>
      </c>
      <c r="N62" s="45"/>
      <c r="O62" s="43"/>
      <c r="P62" s="44"/>
      <c r="Q62" s="44"/>
      <c r="R62" s="44">
        <f t="shared" si="13"/>
        <v>0</v>
      </c>
      <c r="S62" s="44">
        <f>(R61-R62)/2</f>
        <v>0</v>
      </c>
      <c r="T62" s="45"/>
      <c r="U62" s="43"/>
      <c r="V62" s="44"/>
      <c r="W62" s="44"/>
      <c r="X62" s="44">
        <f t="shared" si="14"/>
        <v>0</v>
      </c>
      <c r="Y62" s="44">
        <f>(X61-X62)/2</f>
        <v>0</v>
      </c>
      <c r="Z62" s="45"/>
      <c r="AA62" s="75"/>
      <c r="AB62" s="59"/>
    </row>
    <row r="63" spans="1:37" ht="12.75" customHeight="1">
      <c r="A63" s="15">
        <v>76</v>
      </c>
      <c r="B63" s="16">
        <v>67</v>
      </c>
      <c r="C63" s="93">
        <v>-0.203</v>
      </c>
      <c r="D63" s="94">
        <v>-0.201</v>
      </c>
      <c r="E63" s="94">
        <v>-0.201</v>
      </c>
      <c r="F63" s="39">
        <f aca="true" t="shared" si="16" ref="F63:F104">SUM(C63:E63)/3</f>
        <v>-0.20166666666666666</v>
      </c>
      <c r="G63" s="40"/>
      <c r="H63" s="41"/>
      <c r="I63" s="42">
        <v>-0.012</v>
      </c>
      <c r="J63" s="40">
        <v>-0.012</v>
      </c>
      <c r="K63" s="40">
        <v>-0.012</v>
      </c>
      <c r="L63" s="39">
        <f>SUM(I63:K63)/3</f>
        <v>-0.012000000000000002</v>
      </c>
      <c r="M63" s="40"/>
      <c r="N63" s="41"/>
      <c r="O63" s="42"/>
      <c r="P63" s="40"/>
      <c r="Q63" s="40"/>
      <c r="R63" s="39">
        <f t="shared" si="13"/>
        <v>0</v>
      </c>
      <c r="S63" s="40"/>
      <c r="T63" s="41"/>
      <c r="U63" s="42"/>
      <c r="V63" s="40"/>
      <c r="W63" s="40"/>
      <c r="X63" s="39">
        <f t="shared" si="14"/>
        <v>0</v>
      </c>
      <c r="Y63" s="40"/>
      <c r="Z63" s="41"/>
      <c r="AA63" s="74"/>
      <c r="AB63" s="59">
        <f t="shared" si="9"/>
        <v>-0.191</v>
      </c>
      <c r="AC63" s="55">
        <f t="shared" si="2"/>
        <v>-0.191</v>
      </c>
      <c r="AD63" s="55">
        <f t="shared" si="3"/>
        <v>-0.006333333333333334</v>
      </c>
      <c r="AE63" s="55">
        <f>IF(G64=0,999,G64)</f>
        <v>-0.191</v>
      </c>
      <c r="AF63" s="55">
        <f>IF(M64=0,999,M64)</f>
        <v>-0.006333333333333334</v>
      </c>
      <c r="AG63" s="55">
        <f>IF(S64=0,999,S64)</f>
        <v>999</v>
      </c>
      <c r="AH63" s="55">
        <f>IF(Y64=0,999,Y64)</f>
        <v>999</v>
      </c>
      <c r="AI63" s="55">
        <f>MIN(ABS(AE63),ABS(AF63),ABS(AG63),ABS(AH63))</f>
        <v>0.006333333333333334</v>
      </c>
      <c r="AJ63" t="e">
        <f>MATCH(AI63,AE63:AH63,0)</f>
        <v>#N/A</v>
      </c>
      <c r="AK63" t="b">
        <f>ISNA(AJ63)</f>
        <v>1</v>
      </c>
    </row>
    <row r="64" spans="1:28" ht="12.75" customHeight="1">
      <c r="A64" s="17">
        <v>67</v>
      </c>
      <c r="B64" s="18">
        <v>76</v>
      </c>
      <c r="C64" s="43">
        <v>0.181</v>
      </c>
      <c r="D64" s="44">
        <v>0.18</v>
      </c>
      <c r="E64" s="44">
        <v>0.18</v>
      </c>
      <c r="F64" s="44">
        <f t="shared" si="16"/>
        <v>0.18033333333333332</v>
      </c>
      <c r="G64" s="44">
        <f>(F63-F64)/2</f>
        <v>-0.191</v>
      </c>
      <c r="H64" s="45">
        <v>-0.191</v>
      </c>
      <c r="I64" s="43">
        <v>0</v>
      </c>
      <c r="J64" s="44">
        <v>0</v>
      </c>
      <c r="K64" s="44">
        <v>0.002</v>
      </c>
      <c r="L64" s="44">
        <f>SUM(I64:K64)/3</f>
        <v>0.0006666666666666666</v>
      </c>
      <c r="M64" s="44">
        <f>(L63-L64)/2</f>
        <v>-0.006333333333333334</v>
      </c>
      <c r="N64" s="45"/>
      <c r="O64" s="43"/>
      <c r="P64" s="44"/>
      <c r="Q64" s="44"/>
      <c r="R64" s="44">
        <f t="shared" si="13"/>
        <v>0</v>
      </c>
      <c r="S64" s="44">
        <f>(R63-R64)/2</f>
        <v>0</v>
      </c>
      <c r="T64" s="45"/>
      <c r="U64" s="43"/>
      <c r="V64" s="44"/>
      <c r="W64" s="44"/>
      <c r="X64" s="44">
        <f t="shared" si="14"/>
        <v>0</v>
      </c>
      <c r="Y64" s="44">
        <f>(X63-X64)/2</f>
        <v>0</v>
      </c>
      <c r="Z64" s="45"/>
      <c r="AA64" s="75"/>
      <c r="AB64" s="59"/>
    </row>
    <row r="65" spans="1:37" ht="12.75" customHeight="1">
      <c r="A65" s="15">
        <v>91</v>
      </c>
      <c r="B65" s="16">
        <v>67</v>
      </c>
      <c r="C65" s="38">
        <v>-0.273</v>
      </c>
      <c r="D65" s="39">
        <v>-0.273</v>
      </c>
      <c r="E65" s="39">
        <v>-0.273</v>
      </c>
      <c r="F65" s="39">
        <f t="shared" si="16"/>
        <v>-0.273</v>
      </c>
      <c r="G65" s="40"/>
      <c r="H65" s="41"/>
      <c r="I65" s="38">
        <v>-0.008</v>
      </c>
      <c r="J65" s="39">
        <v>-0.008</v>
      </c>
      <c r="K65" s="39">
        <v>-0.008</v>
      </c>
      <c r="L65" s="39">
        <f aca="true" t="shared" si="17" ref="L65:L76">SUM(I65:K65)/3</f>
        <v>-0.008</v>
      </c>
      <c r="M65" s="40"/>
      <c r="N65" s="41"/>
      <c r="O65" s="42"/>
      <c r="P65" s="40"/>
      <c r="Q65" s="40"/>
      <c r="R65" s="39">
        <f t="shared" si="13"/>
        <v>0</v>
      </c>
      <c r="S65" s="40"/>
      <c r="T65" s="41"/>
      <c r="U65" s="42"/>
      <c r="V65" s="40"/>
      <c r="W65" s="40"/>
      <c r="X65" s="39">
        <f t="shared" si="14"/>
        <v>0</v>
      </c>
      <c r="Y65" s="40"/>
      <c r="Z65" s="41"/>
      <c r="AA65" s="74"/>
      <c r="AB65" s="59">
        <f t="shared" si="9"/>
        <v>-0.269</v>
      </c>
      <c r="AC65" s="55">
        <f t="shared" si="2"/>
        <v>-0.269</v>
      </c>
      <c r="AD65" s="55">
        <f t="shared" si="3"/>
        <v>-0.003</v>
      </c>
      <c r="AE65" s="55">
        <f>IF(G66=0,999,G66)</f>
        <v>-0.269</v>
      </c>
      <c r="AF65" s="55">
        <f>IF(M66=0,999,M66)</f>
        <v>-0.003</v>
      </c>
      <c r="AG65" s="55">
        <f>IF(S66=0,999,S66)</f>
        <v>999</v>
      </c>
      <c r="AH65" s="55">
        <f>IF(Y66=0,999,Y66)</f>
        <v>999</v>
      </c>
      <c r="AI65" s="55">
        <f>MIN(ABS(AE65),ABS(AF65),ABS(AG65),ABS(AH65))</f>
        <v>0.003</v>
      </c>
      <c r="AJ65" t="e">
        <f>MATCH(AI65,AE65:AH65,0)</f>
        <v>#N/A</v>
      </c>
      <c r="AK65" t="b">
        <f>ISNA(AJ65)</f>
        <v>1</v>
      </c>
    </row>
    <row r="66" spans="1:28" ht="12.75" customHeight="1">
      <c r="A66" s="17">
        <v>67</v>
      </c>
      <c r="B66" s="18">
        <v>91</v>
      </c>
      <c r="C66" s="43">
        <v>0.265</v>
      </c>
      <c r="D66" s="44">
        <v>0.265</v>
      </c>
      <c r="E66" s="44">
        <v>0.265</v>
      </c>
      <c r="F66" s="44">
        <f t="shared" si="16"/>
        <v>0.265</v>
      </c>
      <c r="G66" s="44">
        <f>(F65-F66)/2</f>
        <v>-0.269</v>
      </c>
      <c r="H66" s="45">
        <v>-0.269</v>
      </c>
      <c r="I66" s="43">
        <v>-0.002</v>
      </c>
      <c r="J66" s="44">
        <v>-0.002</v>
      </c>
      <c r="K66" s="44">
        <v>-0.002</v>
      </c>
      <c r="L66" s="44">
        <f t="shared" si="17"/>
        <v>-0.002</v>
      </c>
      <c r="M66" s="44">
        <f>(L65-L66)/2</f>
        <v>-0.003</v>
      </c>
      <c r="N66" s="45"/>
      <c r="O66" s="43"/>
      <c r="P66" s="44"/>
      <c r="Q66" s="44"/>
      <c r="R66" s="44">
        <f t="shared" si="13"/>
        <v>0</v>
      </c>
      <c r="S66" s="44">
        <f>(R65-R66)/2</f>
        <v>0</v>
      </c>
      <c r="T66" s="45"/>
      <c r="U66" s="43"/>
      <c r="V66" s="44"/>
      <c r="W66" s="44"/>
      <c r="X66" s="44">
        <f t="shared" si="14"/>
        <v>0</v>
      </c>
      <c r="Y66" s="44">
        <f>(X65-X66)/2</f>
        <v>0</v>
      </c>
      <c r="Z66" s="45"/>
      <c r="AA66" s="75"/>
      <c r="AB66" s="59"/>
    </row>
    <row r="67" spans="1:37" ht="12.75" customHeight="1">
      <c r="A67" s="15">
        <v>80</v>
      </c>
      <c r="B67" s="16">
        <v>71</v>
      </c>
      <c r="C67" s="51">
        <v>-0.043</v>
      </c>
      <c r="D67" s="53">
        <v>-0.043</v>
      </c>
      <c r="E67" s="53">
        <v>-0.043</v>
      </c>
      <c r="F67" s="39">
        <f t="shared" si="16"/>
        <v>-0.043000000000000003</v>
      </c>
      <c r="G67" s="40"/>
      <c r="H67" s="41"/>
      <c r="I67" s="38">
        <v>-0.007</v>
      </c>
      <c r="J67" s="39">
        <v>-0.007</v>
      </c>
      <c r="K67" s="39">
        <v>-0.007</v>
      </c>
      <c r="L67" s="39">
        <f t="shared" si="17"/>
        <v>-0.007</v>
      </c>
      <c r="M67" s="40"/>
      <c r="N67" s="41"/>
      <c r="O67" s="42"/>
      <c r="P67" s="40"/>
      <c r="Q67" s="40"/>
      <c r="R67" s="39">
        <f t="shared" si="13"/>
        <v>0</v>
      </c>
      <c r="S67" s="40"/>
      <c r="T67" s="41"/>
      <c r="U67" s="42"/>
      <c r="V67" s="40"/>
      <c r="W67" s="40"/>
      <c r="X67" s="39">
        <f t="shared" si="14"/>
        <v>0</v>
      </c>
      <c r="Y67" s="40"/>
      <c r="Z67" s="41"/>
      <c r="AA67" s="74"/>
      <c r="AB67" s="59">
        <f t="shared" si="9"/>
        <v>-0.03900000000000001</v>
      </c>
      <c r="AC67" s="55">
        <f t="shared" si="2"/>
        <v>-0.039</v>
      </c>
      <c r="AD67" s="55">
        <f t="shared" si="3"/>
        <v>0.0006666666666666665</v>
      </c>
      <c r="AE67" s="55">
        <f>IF(G68=0,999,G68)</f>
        <v>-0.03900000000000001</v>
      </c>
      <c r="AF67" s="55">
        <f>IF(M68=0,999,M68)</f>
        <v>0.0006666666666666665</v>
      </c>
      <c r="AG67" s="55">
        <f>IF(S68=0,999,S68)</f>
        <v>999</v>
      </c>
      <c r="AH67" s="55">
        <f>IF(Y68=0,999,Y68)</f>
        <v>999</v>
      </c>
      <c r="AI67" s="55">
        <f>MIN(ABS(AE67),ABS(AF67),ABS(AG67),ABS(AH67))</f>
        <v>0.0006666666666666665</v>
      </c>
      <c r="AJ67">
        <f>MATCH(AI67,AE67:AH67,0)</f>
        <v>2</v>
      </c>
      <c r="AK67" t="b">
        <f>ISNA(AJ67)</f>
        <v>0</v>
      </c>
    </row>
    <row r="68" spans="1:28" ht="12.75" customHeight="1">
      <c r="A68" s="17">
        <v>71</v>
      </c>
      <c r="B68" s="18">
        <v>80</v>
      </c>
      <c r="C68" s="43">
        <v>0.035</v>
      </c>
      <c r="D68" s="44">
        <v>0.035</v>
      </c>
      <c r="E68" s="44">
        <v>0.035</v>
      </c>
      <c r="F68" s="44">
        <f t="shared" si="16"/>
        <v>0.035</v>
      </c>
      <c r="G68" s="44">
        <f>(F67-F68)/2</f>
        <v>-0.03900000000000001</v>
      </c>
      <c r="H68" s="45">
        <v>-0.039</v>
      </c>
      <c r="I68" s="43">
        <v>-0.007</v>
      </c>
      <c r="J68" s="54">
        <v>-0.008</v>
      </c>
      <c r="K68" s="44">
        <v>-0.01</v>
      </c>
      <c r="L68" s="44">
        <f t="shared" si="17"/>
        <v>-0.008333333333333333</v>
      </c>
      <c r="M68" s="44">
        <f>(L67-L68)/2</f>
        <v>0.0006666666666666665</v>
      </c>
      <c r="N68" s="45"/>
      <c r="O68" s="43"/>
      <c r="P68" s="44"/>
      <c r="Q68" s="44"/>
      <c r="R68" s="44">
        <f t="shared" si="13"/>
        <v>0</v>
      </c>
      <c r="S68" s="44">
        <f>(R67-R68)/2</f>
        <v>0</v>
      </c>
      <c r="T68" s="45"/>
      <c r="U68" s="43"/>
      <c r="V68" s="44"/>
      <c r="W68" s="44"/>
      <c r="X68" s="44">
        <f t="shared" si="14"/>
        <v>0</v>
      </c>
      <c r="Y68" s="44">
        <f>(X67-X68)/2</f>
        <v>0</v>
      </c>
      <c r="Z68" s="45"/>
      <c r="AA68" s="75"/>
      <c r="AB68" s="59"/>
    </row>
    <row r="69" spans="1:37" ht="12.75" customHeight="1">
      <c r="A69" s="15">
        <v>75</v>
      </c>
      <c r="B69" s="16">
        <v>66</v>
      </c>
      <c r="C69" s="38">
        <v>-0.044</v>
      </c>
      <c r="D69" s="39">
        <v>-0.044</v>
      </c>
      <c r="E69" s="39">
        <v>-0.044</v>
      </c>
      <c r="F69" s="39">
        <f t="shared" si="16"/>
        <v>-0.044000000000000004</v>
      </c>
      <c r="G69" s="40"/>
      <c r="H69" s="41"/>
      <c r="I69" s="38">
        <v>-0.008</v>
      </c>
      <c r="J69" s="39">
        <v>-0.008</v>
      </c>
      <c r="K69" s="39">
        <v>-0.008</v>
      </c>
      <c r="L69" s="39">
        <f t="shared" si="17"/>
        <v>-0.008</v>
      </c>
      <c r="M69" s="40"/>
      <c r="N69" s="41"/>
      <c r="O69" s="42"/>
      <c r="P69" s="40"/>
      <c r="Q69" s="40"/>
      <c r="R69" s="39">
        <f t="shared" si="13"/>
        <v>0</v>
      </c>
      <c r="S69" s="40"/>
      <c r="T69" s="41"/>
      <c r="U69" s="42"/>
      <c r="V69" s="40"/>
      <c r="W69" s="40"/>
      <c r="X69" s="39">
        <f t="shared" si="14"/>
        <v>0</v>
      </c>
      <c r="Y69" s="40"/>
      <c r="Z69" s="41"/>
      <c r="AA69" s="74"/>
      <c r="AB69" s="59">
        <f t="shared" si="9"/>
        <v>-0.04116666666666667</v>
      </c>
      <c r="AC69" s="55">
        <f aca="true" t="shared" si="18" ref="AC69:AC133">H70+N70+T70</f>
        <v>-0.041</v>
      </c>
      <c r="AD69" s="55">
        <f aca="true" t="shared" si="19" ref="AD69:AD133">IF(AK69,-AI69,AI69)</f>
        <v>-0.0009999999999999996</v>
      </c>
      <c r="AE69" s="55">
        <f>IF(G70=0,999,G70)</f>
        <v>-0.04116666666666667</v>
      </c>
      <c r="AF69" s="55">
        <f>IF(M70=0,999,M70)</f>
        <v>-0.0009999999999999996</v>
      </c>
      <c r="AG69" s="55">
        <f>IF(S70=0,999,S70)</f>
        <v>999</v>
      </c>
      <c r="AH69" s="55">
        <f>IF(Y70=0,999,Y70)</f>
        <v>999</v>
      </c>
      <c r="AI69" s="55">
        <f>MIN(ABS(AE69),ABS(AF69),ABS(AG69),ABS(AH69))</f>
        <v>0.0009999999999999996</v>
      </c>
      <c r="AJ69" t="e">
        <f>MATCH(AI69,AE69:AH69,0)</f>
        <v>#N/A</v>
      </c>
      <c r="AK69" t="b">
        <f>ISNA(AJ69)</f>
        <v>1</v>
      </c>
    </row>
    <row r="70" spans="1:28" ht="12.75" customHeight="1">
      <c r="A70" s="17">
        <v>66</v>
      </c>
      <c r="B70" s="18">
        <v>75</v>
      </c>
      <c r="C70" s="43">
        <v>0.039</v>
      </c>
      <c r="D70" s="44">
        <v>0.038</v>
      </c>
      <c r="E70" s="44">
        <v>0.038</v>
      </c>
      <c r="F70" s="44">
        <f t="shared" si="16"/>
        <v>0.03833333333333333</v>
      </c>
      <c r="G70" s="44">
        <f>(F69-F70)/2</f>
        <v>-0.04116666666666667</v>
      </c>
      <c r="H70" s="45">
        <v>-0.041</v>
      </c>
      <c r="I70" s="43">
        <v>-0.006</v>
      </c>
      <c r="J70" s="44">
        <v>-0.006</v>
      </c>
      <c r="K70" s="44">
        <v>-0.006</v>
      </c>
      <c r="L70" s="44">
        <f t="shared" si="17"/>
        <v>-0.006000000000000001</v>
      </c>
      <c r="M70" s="44">
        <f>(L69-L70)/2</f>
        <v>-0.0009999999999999996</v>
      </c>
      <c r="N70" s="45"/>
      <c r="O70" s="43"/>
      <c r="P70" s="44"/>
      <c r="Q70" s="44"/>
      <c r="R70" s="44">
        <f t="shared" si="13"/>
        <v>0</v>
      </c>
      <c r="S70" s="44">
        <f>(R69-R70)/2</f>
        <v>0</v>
      </c>
      <c r="T70" s="45"/>
      <c r="U70" s="43"/>
      <c r="V70" s="44"/>
      <c r="W70" s="44"/>
      <c r="X70" s="44">
        <f t="shared" si="14"/>
        <v>0</v>
      </c>
      <c r="Y70" s="44">
        <f>(X69-X70)/2</f>
        <v>0</v>
      </c>
      <c r="Z70" s="45"/>
      <c r="AA70" s="75"/>
      <c r="AB70" s="59"/>
    </row>
    <row r="71" spans="1:37" ht="12.75" customHeight="1">
      <c r="A71" s="15">
        <v>70</v>
      </c>
      <c r="B71" s="16">
        <v>60</v>
      </c>
      <c r="C71" s="38">
        <v>-0.034</v>
      </c>
      <c r="D71" s="39">
        <v>-0.034</v>
      </c>
      <c r="E71" s="39">
        <v>-0.034</v>
      </c>
      <c r="F71" s="39">
        <f t="shared" si="16"/>
        <v>-0.034</v>
      </c>
      <c r="G71" s="40"/>
      <c r="H71" s="41"/>
      <c r="I71" s="38">
        <v>-0.002</v>
      </c>
      <c r="J71" s="39">
        <v>-0.002</v>
      </c>
      <c r="K71" s="39">
        <v>-0.002</v>
      </c>
      <c r="L71" s="39">
        <f t="shared" si="17"/>
        <v>-0.002</v>
      </c>
      <c r="M71" s="40"/>
      <c r="N71" s="41"/>
      <c r="O71" s="42"/>
      <c r="P71" s="40"/>
      <c r="Q71" s="40"/>
      <c r="R71" s="39">
        <f t="shared" si="13"/>
        <v>0</v>
      </c>
      <c r="S71" s="40"/>
      <c r="T71" s="41"/>
      <c r="U71" s="42"/>
      <c r="V71" s="40"/>
      <c r="W71" s="40"/>
      <c r="X71" s="39">
        <f t="shared" si="14"/>
        <v>0</v>
      </c>
      <c r="Y71" s="40"/>
      <c r="Z71" s="41"/>
      <c r="AA71" s="74"/>
      <c r="AB71" s="59">
        <f t="shared" si="9"/>
        <v>-0.03633333333333333</v>
      </c>
      <c r="AC71" s="55">
        <f t="shared" si="18"/>
        <v>-0.036</v>
      </c>
      <c r="AD71" s="55">
        <f t="shared" si="19"/>
        <v>-0.002333333333333333</v>
      </c>
      <c r="AE71" s="55">
        <f>IF(G72=0,999,G72)</f>
        <v>-0.03633333333333333</v>
      </c>
      <c r="AF71" s="55">
        <f>IF(M72=0,999,M72)</f>
        <v>-0.002333333333333333</v>
      </c>
      <c r="AG71" s="55">
        <f>IF(S72=0,999,S72)</f>
        <v>999</v>
      </c>
      <c r="AH71" s="55">
        <f>IF(Y72=0,999,Y72)</f>
        <v>999</v>
      </c>
      <c r="AI71" s="55">
        <f>MIN(ABS(AE71),ABS(AF71),ABS(AG71),ABS(AH71))</f>
        <v>0.002333333333333333</v>
      </c>
      <c r="AJ71" t="e">
        <f>MATCH(AI71,AE71:AH71,0)</f>
        <v>#N/A</v>
      </c>
      <c r="AK71" t="b">
        <f>ISNA(AJ71)</f>
        <v>1</v>
      </c>
    </row>
    <row r="72" spans="1:28" ht="12.75" customHeight="1">
      <c r="A72" s="17">
        <v>60</v>
      </c>
      <c r="B72" s="18">
        <v>70</v>
      </c>
      <c r="C72" s="43">
        <v>0.039</v>
      </c>
      <c r="D72" s="44">
        <v>0.039</v>
      </c>
      <c r="E72" s="44">
        <v>0.038</v>
      </c>
      <c r="F72" s="44">
        <f t="shared" si="16"/>
        <v>0.03866666666666666</v>
      </c>
      <c r="G72" s="44">
        <f>(F71-F72)/2</f>
        <v>-0.03633333333333333</v>
      </c>
      <c r="H72" s="45">
        <v>-0.036</v>
      </c>
      <c r="I72" s="43">
        <v>0.003</v>
      </c>
      <c r="J72" s="44">
        <v>0.003</v>
      </c>
      <c r="K72" s="44">
        <v>0.002</v>
      </c>
      <c r="L72" s="44">
        <f t="shared" si="17"/>
        <v>0.0026666666666666666</v>
      </c>
      <c r="M72" s="44">
        <f>(L71-L72)/2</f>
        <v>-0.002333333333333333</v>
      </c>
      <c r="N72" s="45"/>
      <c r="O72" s="43"/>
      <c r="P72" s="44"/>
      <c r="Q72" s="44"/>
      <c r="R72" s="44">
        <f t="shared" si="13"/>
        <v>0</v>
      </c>
      <c r="S72" s="44">
        <f>(R71-R72)/2</f>
        <v>0</v>
      </c>
      <c r="T72" s="45"/>
      <c r="U72" s="43"/>
      <c r="V72" s="44"/>
      <c r="W72" s="44"/>
      <c r="X72" s="44">
        <f t="shared" si="14"/>
        <v>0</v>
      </c>
      <c r="Y72" s="44">
        <f>(X71-X72)/2</f>
        <v>0</v>
      </c>
      <c r="Z72" s="45"/>
      <c r="AA72" s="75"/>
      <c r="AB72" s="59"/>
    </row>
    <row r="73" spans="1:37" ht="12.75" customHeight="1">
      <c r="A73" s="15">
        <v>79</v>
      </c>
      <c r="B73" s="16">
        <v>70</v>
      </c>
      <c r="C73" s="38">
        <v>-0.045</v>
      </c>
      <c r="D73" s="39">
        <v>-0.045</v>
      </c>
      <c r="E73" s="39">
        <v>-0.046</v>
      </c>
      <c r="F73" s="39">
        <f t="shared" si="16"/>
        <v>-0.04533333333333334</v>
      </c>
      <c r="G73" s="40"/>
      <c r="H73" s="41"/>
      <c r="I73" s="38">
        <v>-0.005</v>
      </c>
      <c r="J73" s="39">
        <v>-0.005</v>
      </c>
      <c r="K73" s="39">
        <v>-0.005</v>
      </c>
      <c r="L73" s="39">
        <f t="shared" si="17"/>
        <v>-0.005</v>
      </c>
      <c r="M73" s="40"/>
      <c r="N73" s="41"/>
      <c r="O73" s="42"/>
      <c r="P73" s="40"/>
      <c r="Q73" s="40"/>
      <c r="R73" s="39">
        <f t="shared" si="13"/>
        <v>0</v>
      </c>
      <c r="S73" s="40"/>
      <c r="T73" s="41"/>
      <c r="U73" s="42"/>
      <c r="V73" s="40"/>
      <c r="W73" s="40"/>
      <c r="X73" s="39">
        <f t="shared" si="14"/>
        <v>0</v>
      </c>
      <c r="Y73" s="40"/>
      <c r="Z73" s="41"/>
      <c r="AA73" s="74"/>
      <c r="AB73" s="59">
        <f t="shared" si="9"/>
        <v>-0.03716666666666667</v>
      </c>
      <c r="AC73" s="55">
        <f t="shared" si="18"/>
        <v>-0.037</v>
      </c>
      <c r="AD73" s="55">
        <f t="shared" si="19"/>
        <v>-0.002</v>
      </c>
      <c r="AE73" s="55">
        <f>IF(G74=0,999,G74)</f>
        <v>-0.03716666666666667</v>
      </c>
      <c r="AF73" s="55">
        <f>IF(M74=0,999,M74)</f>
        <v>-0.002</v>
      </c>
      <c r="AG73" s="55">
        <f>IF(S74=0,999,S74)</f>
        <v>999</v>
      </c>
      <c r="AH73" s="55">
        <f>IF(Y74=0,999,Y74)</f>
        <v>999</v>
      </c>
      <c r="AI73" s="55">
        <f>MIN(ABS(AE73),ABS(AF73),ABS(AG73),ABS(AH73))</f>
        <v>0.002</v>
      </c>
      <c r="AJ73" t="e">
        <f>MATCH(AI73,AE73:AH73,0)</f>
        <v>#N/A</v>
      </c>
      <c r="AK73" t="b">
        <f>ISNA(AJ73)</f>
        <v>1</v>
      </c>
    </row>
    <row r="74" spans="1:28" ht="12.75" customHeight="1">
      <c r="A74" s="17">
        <v>70</v>
      </c>
      <c r="B74" s="18">
        <v>79</v>
      </c>
      <c r="C74" s="43">
        <v>0.029</v>
      </c>
      <c r="D74" s="44">
        <v>0.029</v>
      </c>
      <c r="E74" s="44">
        <v>0.029</v>
      </c>
      <c r="F74" s="44">
        <f t="shared" si="16"/>
        <v>0.029</v>
      </c>
      <c r="G74" s="44">
        <f>(F73-F74)/2</f>
        <v>-0.03716666666666667</v>
      </c>
      <c r="H74" s="45">
        <v>-0.037</v>
      </c>
      <c r="I74" s="43">
        <v>-0.001</v>
      </c>
      <c r="J74" s="44">
        <v>-0.001</v>
      </c>
      <c r="K74" s="44">
        <v>-0.001</v>
      </c>
      <c r="L74" s="44">
        <f t="shared" si="17"/>
        <v>-0.001</v>
      </c>
      <c r="M74" s="44">
        <f>(L73-L74)/2</f>
        <v>-0.002</v>
      </c>
      <c r="N74" s="45"/>
      <c r="O74" s="43"/>
      <c r="P74" s="44"/>
      <c r="Q74" s="44"/>
      <c r="R74" s="44">
        <f t="shared" si="13"/>
        <v>0</v>
      </c>
      <c r="S74" s="44">
        <f>(R73-R74)/2</f>
        <v>0</v>
      </c>
      <c r="T74" s="45"/>
      <c r="U74" s="43"/>
      <c r="V74" s="44"/>
      <c r="W74" s="44"/>
      <c r="X74" s="44">
        <f t="shared" si="14"/>
        <v>0</v>
      </c>
      <c r="Y74" s="44">
        <f>(X73-X74)/2</f>
        <v>0</v>
      </c>
      <c r="Z74" s="45"/>
      <c r="AA74" s="75"/>
      <c r="AB74" s="59"/>
    </row>
    <row r="75" spans="1:37" ht="12.75" customHeight="1">
      <c r="A75" s="15">
        <v>85</v>
      </c>
      <c r="B75" s="16">
        <v>79</v>
      </c>
      <c r="C75" s="38">
        <v>0.017</v>
      </c>
      <c r="D75" s="39">
        <v>0.017</v>
      </c>
      <c r="E75" s="39">
        <v>0.017</v>
      </c>
      <c r="F75" s="39">
        <f t="shared" si="16"/>
        <v>0.017</v>
      </c>
      <c r="G75" s="40"/>
      <c r="H75" s="41"/>
      <c r="I75" s="38">
        <v>-0.01</v>
      </c>
      <c r="J75" s="39">
        <v>-0.01</v>
      </c>
      <c r="K75" s="39">
        <v>-0.01</v>
      </c>
      <c r="L75" s="39">
        <f t="shared" si="17"/>
        <v>-0.01</v>
      </c>
      <c r="M75" s="40"/>
      <c r="N75" s="41"/>
      <c r="O75" s="42"/>
      <c r="P75" s="40"/>
      <c r="Q75" s="40"/>
      <c r="R75" s="39">
        <f t="shared" si="13"/>
        <v>0</v>
      </c>
      <c r="S75" s="40"/>
      <c r="T75" s="41"/>
      <c r="U75" s="42"/>
      <c r="V75" s="40"/>
      <c r="W75" s="40"/>
      <c r="X75" s="39">
        <f t="shared" si="14"/>
        <v>0</v>
      </c>
      <c r="Y75" s="40"/>
      <c r="Z75" s="41"/>
      <c r="AA75" s="74"/>
      <c r="AB75" s="59">
        <f t="shared" si="9"/>
        <v>0.024</v>
      </c>
      <c r="AC75" s="55">
        <f t="shared" si="18"/>
        <v>0.024</v>
      </c>
      <c r="AD75" s="55">
        <f t="shared" si="19"/>
        <v>-0.006</v>
      </c>
      <c r="AE75" s="55">
        <f>IF(G76=0,999,G76)</f>
        <v>0.024</v>
      </c>
      <c r="AF75" s="55">
        <f>IF(M76=0,999,M76)</f>
        <v>-0.006</v>
      </c>
      <c r="AG75" s="55">
        <f>IF(S76=0,999,S76)</f>
        <v>999</v>
      </c>
      <c r="AH75" s="55">
        <f>IF(Y76=0,999,Y76)</f>
        <v>999</v>
      </c>
      <c r="AI75" s="55">
        <f>MIN(ABS(AE75),ABS(AF75),ABS(AG75),ABS(AH75))</f>
        <v>0.006</v>
      </c>
      <c r="AJ75" t="e">
        <f>MATCH(AI75,AE75:AH75,0)</f>
        <v>#N/A</v>
      </c>
      <c r="AK75" t="b">
        <f>ISNA(AJ75)</f>
        <v>1</v>
      </c>
    </row>
    <row r="76" spans="1:28" ht="12.75" customHeight="1">
      <c r="A76" s="17">
        <v>79</v>
      </c>
      <c r="B76" s="18">
        <v>85</v>
      </c>
      <c r="C76" s="43">
        <v>-0.031</v>
      </c>
      <c r="D76" s="44">
        <v>-0.031</v>
      </c>
      <c r="E76" s="44">
        <v>-0.031</v>
      </c>
      <c r="F76" s="44">
        <f t="shared" si="16"/>
        <v>-0.031</v>
      </c>
      <c r="G76" s="44">
        <f>(F75-F76)/2</f>
        <v>0.024</v>
      </c>
      <c r="H76" s="45">
        <v>0.024</v>
      </c>
      <c r="I76" s="43">
        <v>0.002</v>
      </c>
      <c r="J76" s="44">
        <v>0.002</v>
      </c>
      <c r="K76" s="44">
        <v>0.002</v>
      </c>
      <c r="L76" s="44">
        <f t="shared" si="17"/>
        <v>0.002</v>
      </c>
      <c r="M76" s="44">
        <f>(L75-L76)/2</f>
        <v>-0.006</v>
      </c>
      <c r="N76" s="45"/>
      <c r="O76" s="43"/>
      <c r="P76" s="44"/>
      <c r="Q76" s="44"/>
      <c r="R76" s="44">
        <f t="shared" si="13"/>
        <v>0</v>
      </c>
      <c r="S76" s="44">
        <f>(R75-R76)/2</f>
        <v>0</v>
      </c>
      <c r="T76" s="45"/>
      <c r="U76" s="43"/>
      <c r="V76" s="44"/>
      <c r="W76" s="44"/>
      <c r="X76" s="44">
        <f t="shared" si="14"/>
        <v>0</v>
      </c>
      <c r="Y76" s="44">
        <f>(X75-X76)/2</f>
        <v>0</v>
      </c>
      <c r="Z76" s="45"/>
      <c r="AA76" s="75"/>
      <c r="AB76" s="59"/>
    </row>
    <row r="77" spans="1:37" ht="12.75">
      <c r="A77" s="3">
        <v>83</v>
      </c>
      <c r="B77" s="1">
        <v>75</v>
      </c>
      <c r="C77" s="51">
        <v>0.229</v>
      </c>
      <c r="D77" s="53">
        <v>0.229</v>
      </c>
      <c r="E77" s="53">
        <v>0.229</v>
      </c>
      <c r="F77" s="39">
        <f>SUM(C77:E77)/3</f>
        <v>0.229</v>
      </c>
      <c r="G77" s="40"/>
      <c r="H77" s="41"/>
      <c r="I77" s="38">
        <v>-0.003</v>
      </c>
      <c r="J77" s="39">
        <v>-0.003</v>
      </c>
      <c r="K77" s="39">
        <v>-0.003</v>
      </c>
      <c r="L77" s="39">
        <f aca="true" t="shared" si="20" ref="L77:L82">SUM(I77:K77)/3</f>
        <v>-0.0030000000000000005</v>
      </c>
      <c r="M77" s="40"/>
      <c r="N77" s="41"/>
      <c r="O77" s="42"/>
      <c r="P77" s="40"/>
      <c r="Q77" s="40"/>
      <c r="R77" s="39">
        <f>SUM(O77:Q77)/3</f>
        <v>0</v>
      </c>
      <c r="S77" s="40"/>
      <c r="T77" s="41"/>
      <c r="U77" s="42"/>
      <c r="V77" s="40"/>
      <c r="W77" s="40"/>
      <c r="X77" s="39">
        <f>SUM(U77:W77)/3</f>
        <v>0</v>
      </c>
      <c r="Y77" s="40"/>
      <c r="Z77" s="41"/>
      <c r="AA77" s="74"/>
      <c r="AB77" s="59">
        <f>G78</f>
        <v>0.2265</v>
      </c>
      <c r="AC77" s="55">
        <f>H78+N78+T78</f>
        <v>0.227</v>
      </c>
      <c r="AD77" s="55">
        <f>IF(AK77,-AI77,AI77)</f>
        <v>0.0015000000000000002</v>
      </c>
      <c r="AE77" s="55">
        <f>IF(G78=0,999,G78)</f>
        <v>0.2265</v>
      </c>
      <c r="AF77" s="55">
        <f>IF(M78=0,999,M78)</f>
        <v>0.0015000000000000002</v>
      </c>
      <c r="AG77" s="55">
        <f>IF(S78=0,999,S78)</f>
        <v>999</v>
      </c>
      <c r="AH77" s="55">
        <f>IF(Y78=0,999,Y78)</f>
        <v>999</v>
      </c>
      <c r="AI77" s="55">
        <f>MIN(ABS(AE77),ABS(AF77),ABS(AG77),ABS(AH77))</f>
        <v>0.0015000000000000002</v>
      </c>
      <c r="AJ77">
        <f>MATCH(AI77,AE77:AH77,0)</f>
        <v>2</v>
      </c>
      <c r="AK77" t="b">
        <f>ISNA(AJ77)</f>
        <v>0</v>
      </c>
    </row>
    <row r="78" spans="1:28" ht="12.75">
      <c r="A78" s="1">
        <v>75</v>
      </c>
      <c r="B78" s="1">
        <v>83</v>
      </c>
      <c r="C78" s="43">
        <v>-0.224</v>
      </c>
      <c r="D78" s="44">
        <v>-0.224</v>
      </c>
      <c r="E78" s="44">
        <v>-0.224</v>
      </c>
      <c r="F78" s="44">
        <f>SUM(C78:E78)/3</f>
        <v>-0.224</v>
      </c>
      <c r="G78" s="44">
        <f>(F77-F78)/2</f>
        <v>0.2265</v>
      </c>
      <c r="H78" s="45">
        <v>0.227</v>
      </c>
      <c r="I78" s="43">
        <v>-0.006</v>
      </c>
      <c r="J78" s="44">
        <v>-0.006</v>
      </c>
      <c r="K78" s="44">
        <v>-0.006</v>
      </c>
      <c r="L78" s="44">
        <f t="shared" si="20"/>
        <v>-0.006000000000000001</v>
      </c>
      <c r="M78" s="44">
        <f>(L77-L78)/2</f>
        <v>0.0015000000000000002</v>
      </c>
      <c r="N78" s="45"/>
      <c r="O78" s="43"/>
      <c r="P78" s="44"/>
      <c r="Q78" s="44"/>
      <c r="R78" s="44">
        <f>SUM(O78:Q78)/3</f>
        <v>0</v>
      </c>
      <c r="S78" s="44">
        <f>(R77-R78)/2</f>
        <v>0</v>
      </c>
      <c r="T78" s="45"/>
      <c r="U78" s="43"/>
      <c r="V78" s="44"/>
      <c r="W78" s="44"/>
      <c r="X78" s="44">
        <f>SUM(U78:W78)/3</f>
        <v>0</v>
      </c>
      <c r="Y78" s="44">
        <f>(X77-X78)/2</f>
        <v>0</v>
      </c>
      <c r="Z78" s="45"/>
      <c r="AA78" s="75"/>
      <c r="AB78" s="59"/>
    </row>
    <row r="79" spans="1:37" ht="12.75" customHeight="1">
      <c r="A79" s="15">
        <v>44</v>
      </c>
      <c r="B79" s="16">
        <v>38</v>
      </c>
      <c r="C79" s="51">
        <v>-0.017</v>
      </c>
      <c r="D79" s="39">
        <v>-0.017</v>
      </c>
      <c r="E79" s="39">
        <v>-0.017</v>
      </c>
      <c r="F79" s="39">
        <f t="shared" si="16"/>
        <v>-0.017</v>
      </c>
      <c r="G79" s="40"/>
      <c r="H79" s="41"/>
      <c r="I79" s="42">
        <v>-0.005</v>
      </c>
      <c r="J79" s="40">
        <v>-0.006</v>
      </c>
      <c r="K79" s="40">
        <v>-0.006</v>
      </c>
      <c r="L79" s="39">
        <f t="shared" si="20"/>
        <v>-0.005666666666666667</v>
      </c>
      <c r="M79" s="40"/>
      <c r="N79" s="41"/>
      <c r="O79" s="42"/>
      <c r="P79" s="40"/>
      <c r="Q79" s="40"/>
      <c r="R79" s="39">
        <f t="shared" si="13"/>
        <v>0</v>
      </c>
      <c r="S79" s="40"/>
      <c r="T79" s="41"/>
      <c r="U79" s="42"/>
      <c r="V79" s="40"/>
      <c r="W79" s="40"/>
      <c r="X79" s="39">
        <f t="shared" si="14"/>
        <v>0</v>
      </c>
      <c r="Y79" s="40"/>
      <c r="Z79" s="41"/>
      <c r="AA79" s="74"/>
      <c r="AB79" s="59">
        <f t="shared" si="9"/>
        <v>-0.01</v>
      </c>
      <c r="AC79" s="55">
        <f t="shared" si="18"/>
        <v>-0.01</v>
      </c>
      <c r="AD79" s="55">
        <f t="shared" si="19"/>
        <v>-0.0013333333333333333</v>
      </c>
      <c r="AE79" s="55">
        <f>IF(G80=0,999,G80)</f>
        <v>-0.01</v>
      </c>
      <c r="AF79" s="55">
        <f>IF(M80=0,999,M80)</f>
        <v>-0.0013333333333333333</v>
      </c>
      <c r="AG79" s="55">
        <f>IF(S80=0,999,S80)</f>
        <v>999</v>
      </c>
      <c r="AH79" s="55">
        <f>IF(Y80=0,999,Y80)</f>
        <v>999</v>
      </c>
      <c r="AI79" s="55">
        <f>MIN(ABS(AE79),ABS(AF79),ABS(AG79),ABS(AH79))</f>
        <v>0.0013333333333333333</v>
      </c>
      <c r="AJ79" t="e">
        <f>MATCH(AI79,AE79:AH79,0)</f>
        <v>#N/A</v>
      </c>
      <c r="AK79" t="b">
        <f>ISNA(AJ79)</f>
        <v>1</v>
      </c>
    </row>
    <row r="80" spans="1:28" ht="12.75" customHeight="1">
      <c r="A80" s="17">
        <v>38</v>
      </c>
      <c r="B80" s="18">
        <v>44</v>
      </c>
      <c r="C80" s="43">
        <v>0.003</v>
      </c>
      <c r="D80" s="44">
        <v>0.003</v>
      </c>
      <c r="E80" s="44">
        <v>0.003</v>
      </c>
      <c r="F80" s="44">
        <f t="shared" si="16"/>
        <v>0.0030000000000000005</v>
      </c>
      <c r="G80" s="44">
        <f>(F79-F80)/2</f>
        <v>-0.01</v>
      </c>
      <c r="H80" s="45">
        <v>-0.01</v>
      </c>
      <c r="I80" s="43">
        <v>-0.003</v>
      </c>
      <c r="J80" s="44">
        <v>-0.003</v>
      </c>
      <c r="K80" s="44">
        <v>-0.003</v>
      </c>
      <c r="L80" s="44">
        <f t="shared" si="20"/>
        <v>-0.0030000000000000005</v>
      </c>
      <c r="M80" s="44">
        <f>(L79-L80)/2</f>
        <v>-0.0013333333333333333</v>
      </c>
      <c r="N80" s="45"/>
      <c r="O80" s="43"/>
      <c r="P80" s="44"/>
      <c r="Q80" s="44"/>
      <c r="R80" s="44">
        <f t="shared" si="13"/>
        <v>0</v>
      </c>
      <c r="S80" s="44">
        <f>(R79-R80)/2</f>
        <v>0</v>
      </c>
      <c r="T80" s="45"/>
      <c r="U80" s="43"/>
      <c r="V80" s="44"/>
      <c r="W80" s="44"/>
      <c r="X80" s="44">
        <f t="shared" si="14"/>
        <v>0</v>
      </c>
      <c r="Y80" s="44">
        <f>(X79-X80)/2</f>
        <v>0</v>
      </c>
      <c r="Z80" s="45"/>
      <c r="AA80" s="75"/>
      <c r="AB80" s="59"/>
    </row>
    <row r="81" spans="1:37" ht="12.75" customHeight="1">
      <c r="A81" s="15">
        <v>50</v>
      </c>
      <c r="B81" s="16">
        <v>44</v>
      </c>
      <c r="C81" s="51">
        <v>-0.017</v>
      </c>
      <c r="D81" s="53">
        <v>-0.017</v>
      </c>
      <c r="E81" s="53">
        <v>-0.017</v>
      </c>
      <c r="F81" s="39">
        <f t="shared" si="16"/>
        <v>-0.017</v>
      </c>
      <c r="G81" s="40"/>
      <c r="H81" s="41"/>
      <c r="I81" s="42"/>
      <c r="J81" s="40"/>
      <c r="K81" s="40"/>
      <c r="L81" s="39">
        <f t="shared" si="20"/>
        <v>0</v>
      </c>
      <c r="M81" s="40"/>
      <c r="N81" s="41"/>
      <c r="O81" s="42"/>
      <c r="P81" s="40"/>
      <c r="Q81" s="40"/>
      <c r="R81" s="39">
        <f t="shared" si="13"/>
        <v>0</v>
      </c>
      <c r="S81" s="40"/>
      <c r="T81" s="41"/>
      <c r="U81" s="42"/>
      <c r="V81" s="40"/>
      <c r="W81" s="40"/>
      <c r="X81" s="39">
        <f t="shared" si="14"/>
        <v>0</v>
      </c>
      <c r="Y81" s="40"/>
      <c r="Z81" s="41"/>
      <c r="AA81" s="74"/>
      <c r="AB81" s="59">
        <f t="shared" si="9"/>
        <v>-0.009000000000000001</v>
      </c>
      <c r="AC81" s="55">
        <f t="shared" si="18"/>
        <v>0</v>
      </c>
      <c r="AD81" s="55">
        <f t="shared" si="19"/>
        <v>-0.009000000000000001</v>
      </c>
      <c r="AE81" s="55">
        <f>IF(G82=0,999,G82)</f>
        <v>-0.009000000000000001</v>
      </c>
      <c r="AF81" s="55">
        <f>IF(M82=0,999,M82)</f>
        <v>999</v>
      </c>
      <c r="AG81" s="55">
        <f>IF(S82=0,999,S82)</f>
        <v>999</v>
      </c>
      <c r="AH81" s="55">
        <f>IF(Y82=0,999,Y82)</f>
        <v>999</v>
      </c>
      <c r="AI81" s="55">
        <f>MIN(ABS(AE81),ABS(AF81),ABS(AG81),ABS(AH81))</f>
        <v>0.009000000000000001</v>
      </c>
      <c r="AJ81" t="e">
        <f>MATCH(AI81,AE81:AH81,0)</f>
        <v>#N/A</v>
      </c>
      <c r="AK81" t="b">
        <f>ISNA(AJ81)</f>
        <v>1</v>
      </c>
    </row>
    <row r="82" spans="1:28" ht="12.75" customHeight="1">
      <c r="A82" s="17">
        <v>44</v>
      </c>
      <c r="B82" s="18">
        <v>50</v>
      </c>
      <c r="C82" s="43">
        <v>0.001</v>
      </c>
      <c r="D82" s="44">
        <v>0.001</v>
      </c>
      <c r="E82" s="44">
        <v>0.001</v>
      </c>
      <c r="F82" s="44">
        <f t="shared" si="16"/>
        <v>0.001</v>
      </c>
      <c r="G82" s="44">
        <f>(F81-F82)/2</f>
        <v>-0.009000000000000001</v>
      </c>
      <c r="H82" s="45"/>
      <c r="I82" s="43"/>
      <c r="J82" s="44"/>
      <c r="K82" s="44"/>
      <c r="L82" s="44">
        <f t="shared" si="20"/>
        <v>0</v>
      </c>
      <c r="M82" s="44">
        <f>(L81-L82)/2</f>
        <v>0</v>
      </c>
      <c r="N82" s="45"/>
      <c r="O82" s="43"/>
      <c r="P82" s="44"/>
      <c r="Q82" s="44"/>
      <c r="R82" s="44">
        <f t="shared" si="13"/>
        <v>0</v>
      </c>
      <c r="S82" s="44">
        <f>(R81-R82)/2</f>
        <v>0</v>
      </c>
      <c r="T82" s="45"/>
      <c r="U82" s="43"/>
      <c r="V82" s="44"/>
      <c r="W82" s="44"/>
      <c r="X82" s="44">
        <f t="shared" si="14"/>
        <v>0</v>
      </c>
      <c r="Y82" s="44">
        <f>(X81-X82)/2</f>
        <v>0</v>
      </c>
      <c r="Z82" s="45"/>
      <c r="AA82" s="75"/>
      <c r="AB82" s="59"/>
    </row>
    <row r="83" spans="1:37" ht="12.75" customHeight="1">
      <c r="A83" s="15">
        <v>56</v>
      </c>
      <c r="B83" s="16">
        <v>50</v>
      </c>
      <c r="C83" s="51">
        <v>-0.001</v>
      </c>
      <c r="D83" s="39">
        <v>-0.001</v>
      </c>
      <c r="E83" s="39">
        <v>-0.001</v>
      </c>
      <c r="F83" s="39">
        <f t="shared" si="16"/>
        <v>-0.001</v>
      </c>
      <c r="G83" s="40"/>
      <c r="H83" s="41"/>
      <c r="I83" s="38"/>
      <c r="J83" s="39"/>
      <c r="K83" s="39"/>
      <c r="L83" s="39">
        <f aca="true" t="shared" si="21" ref="L83:L94">SUM(I83:K83)/3</f>
        <v>0</v>
      </c>
      <c r="M83" s="40"/>
      <c r="N83" s="41"/>
      <c r="O83" s="42"/>
      <c r="P83" s="40"/>
      <c r="Q83" s="40"/>
      <c r="R83" s="39">
        <f t="shared" si="13"/>
        <v>0</v>
      </c>
      <c r="S83" s="40"/>
      <c r="T83" s="41"/>
      <c r="U83" s="42"/>
      <c r="V83" s="40"/>
      <c r="W83" s="40"/>
      <c r="X83" s="39">
        <f t="shared" si="14"/>
        <v>0</v>
      </c>
      <c r="Y83" s="40"/>
      <c r="Z83" s="41"/>
      <c r="AA83" s="74"/>
      <c r="AB83" s="59">
        <f aca="true" t="shared" si="22" ref="AB83:AB145">G84</f>
        <v>0.0045000000000000005</v>
      </c>
      <c r="AC83" s="55">
        <f t="shared" si="18"/>
        <v>0</v>
      </c>
      <c r="AD83" s="55">
        <f t="shared" si="19"/>
        <v>0.0045000000000000005</v>
      </c>
      <c r="AE83" s="55">
        <f>IF(G84=0,999,G84)</f>
        <v>0.0045000000000000005</v>
      </c>
      <c r="AF83" s="55">
        <f>IF(M84=0,999,M84)</f>
        <v>999</v>
      </c>
      <c r="AG83" s="55">
        <f>IF(S84=0,999,S84)</f>
        <v>999</v>
      </c>
      <c r="AH83" s="55">
        <f>IF(Y84=0,999,Y84)</f>
        <v>999</v>
      </c>
      <c r="AI83" s="55">
        <f>MIN(ABS(AE83),ABS(AF83),ABS(AG83),ABS(AH83))</f>
        <v>0.0045000000000000005</v>
      </c>
      <c r="AJ83">
        <f>MATCH(AI83,AE83:AH83,0)</f>
        <v>1</v>
      </c>
      <c r="AK83" t="b">
        <f>ISNA(AJ83)</f>
        <v>0</v>
      </c>
    </row>
    <row r="84" spans="1:28" ht="12.75" customHeight="1">
      <c r="A84" s="17">
        <v>50</v>
      </c>
      <c r="B84" s="18">
        <v>56</v>
      </c>
      <c r="C84" s="43">
        <v>-0.01</v>
      </c>
      <c r="D84" s="44">
        <v>-0.01</v>
      </c>
      <c r="E84" s="44">
        <v>-0.01</v>
      </c>
      <c r="F84" s="44">
        <f t="shared" si="16"/>
        <v>-0.01</v>
      </c>
      <c r="G84" s="44">
        <f>(F83-F84)/2</f>
        <v>0.0045000000000000005</v>
      </c>
      <c r="H84" s="45"/>
      <c r="I84" s="43"/>
      <c r="J84" s="44"/>
      <c r="K84" s="44"/>
      <c r="L84" s="44">
        <f t="shared" si="21"/>
        <v>0</v>
      </c>
      <c r="M84" s="44">
        <f>(L83-L84)/2</f>
        <v>0</v>
      </c>
      <c r="N84" s="45"/>
      <c r="O84" s="43"/>
      <c r="P84" s="44"/>
      <c r="Q84" s="44"/>
      <c r="R84" s="44">
        <f t="shared" si="13"/>
        <v>0</v>
      </c>
      <c r="S84" s="44">
        <f>(R83-R84)/2</f>
        <v>0</v>
      </c>
      <c r="T84" s="45"/>
      <c r="U84" s="43"/>
      <c r="V84" s="44"/>
      <c r="W84" s="44"/>
      <c r="X84" s="44">
        <f t="shared" si="14"/>
        <v>0</v>
      </c>
      <c r="Y84" s="44">
        <f>(X83-X84)/2</f>
        <v>0</v>
      </c>
      <c r="Z84" s="45"/>
      <c r="AA84" s="75"/>
      <c r="AB84" s="59"/>
    </row>
    <row r="85" spans="1:37" ht="12.75" customHeight="1">
      <c r="A85" s="15">
        <v>62</v>
      </c>
      <c r="B85" s="16">
        <v>56</v>
      </c>
      <c r="C85" s="51">
        <v>0.033</v>
      </c>
      <c r="D85" s="53">
        <v>0.033</v>
      </c>
      <c r="E85" s="53">
        <v>0.033</v>
      </c>
      <c r="F85" s="39">
        <f t="shared" si="16"/>
        <v>0.033</v>
      </c>
      <c r="G85" s="40"/>
      <c r="H85" s="41"/>
      <c r="I85" s="38">
        <v>-0.001</v>
      </c>
      <c r="J85" s="39">
        <v>-0.001</v>
      </c>
      <c r="K85" s="39">
        <v>-0.001</v>
      </c>
      <c r="L85" s="39">
        <f>SUM(I85:K85)/3</f>
        <v>-0.001</v>
      </c>
      <c r="M85" s="40"/>
      <c r="N85" s="41"/>
      <c r="O85" s="42"/>
      <c r="P85" s="40"/>
      <c r="Q85" s="40"/>
      <c r="R85" s="39">
        <f t="shared" si="13"/>
        <v>0</v>
      </c>
      <c r="S85" s="40"/>
      <c r="T85" s="41"/>
      <c r="U85" s="42"/>
      <c r="V85" s="40"/>
      <c r="W85" s="40"/>
      <c r="X85" s="39">
        <f t="shared" si="14"/>
        <v>0</v>
      </c>
      <c r="Y85" s="40"/>
      <c r="Z85" s="41"/>
      <c r="AA85" s="74"/>
      <c r="AB85" s="59">
        <f t="shared" si="22"/>
        <v>0.03816666666666667</v>
      </c>
      <c r="AC85" s="55">
        <f t="shared" si="18"/>
        <v>0.038</v>
      </c>
      <c r="AD85" s="55">
        <f t="shared" si="19"/>
        <v>-0.003</v>
      </c>
      <c r="AE85" s="55">
        <f>IF(G86=0,999,G86)</f>
        <v>0.03816666666666667</v>
      </c>
      <c r="AF85" s="55">
        <f>IF(M86=0,999,M86)</f>
        <v>-0.003</v>
      </c>
      <c r="AG85" s="55">
        <f>IF(S86=0,999,S86)</f>
        <v>999</v>
      </c>
      <c r="AH85" s="55">
        <f>IF(Y86=0,999,Y86)</f>
        <v>999</v>
      </c>
      <c r="AI85" s="55">
        <f>MIN(ABS(AE85),ABS(AF85),ABS(AG85),ABS(AH85))</f>
        <v>0.003</v>
      </c>
      <c r="AJ85" t="e">
        <f>MATCH(AI85,AE85:AH85,0)</f>
        <v>#N/A</v>
      </c>
      <c r="AK85" t="b">
        <f>ISNA(AJ85)</f>
        <v>1</v>
      </c>
    </row>
    <row r="86" spans="1:28" ht="12.75" customHeight="1">
      <c r="A86" s="17">
        <v>56</v>
      </c>
      <c r="B86" s="18">
        <v>62</v>
      </c>
      <c r="C86" s="43">
        <v>-0.04</v>
      </c>
      <c r="D86" s="44">
        <v>-0.045</v>
      </c>
      <c r="E86" s="44">
        <v>-0.045</v>
      </c>
      <c r="F86" s="44">
        <f t="shared" si="16"/>
        <v>-0.043333333333333335</v>
      </c>
      <c r="G86" s="44">
        <f>(F85-F86)/2</f>
        <v>0.03816666666666667</v>
      </c>
      <c r="H86" s="45">
        <v>0.038</v>
      </c>
      <c r="I86" s="46">
        <v>0.005</v>
      </c>
      <c r="J86" s="47">
        <v>0.005</v>
      </c>
      <c r="K86" s="47">
        <v>0.005</v>
      </c>
      <c r="L86" s="44">
        <f t="shared" si="21"/>
        <v>0.005</v>
      </c>
      <c r="M86" s="44">
        <f>(L85-L86)/2</f>
        <v>-0.003</v>
      </c>
      <c r="N86" s="45"/>
      <c r="O86" s="43"/>
      <c r="P86" s="44"/>
      <c r="Q86" s="44"/>
      <c r="R86" s="44">
        <f t="shared" si="13"/>
        <v>0</v>
      </c>
      <c r="S86" s="44">
        <f>(R85-R86)/2</f>
        <v>0</v>
      </c>
      <c r="T86" s="45"/>
      <c r="U86" s="43"/>
      <c r="V86" s="44"/>
      <c r="W86" s="44"/>
      <c r="X86" s="44">
        <f t="shared" si="14"/>
        <v>0</v>
      </c>
      <c r="Y86" s="44">
        <f>(X85-X86)/2</f>
        <v>0</v>
      </c>
      <c r="Z86" s="45"/>
      <c r="AA86" s="75"/>
      <c r="AB86" s="59"/>
    </row>
    <row r="87" spans="1:37" ht="12.75" customHeight="1">
      <c r="A87" s="15">
        <v>33</v>
      </c>
      <c r="B87" s="16">
        <v>38</v>
      </c>
      <c r="C87" s="38">
        <v>-0.029</v>
      </c>
      <c r="D87" s="39">
        <v>-0.029</v>
      </c>
      <c r="E87" s="39">
        <v>-0.029</v>
      </c>
      <c r="F87" s="39">
        <f t="shared" si="16"/>
        <v>-0.029</v>
      </c>
      <c r="G87" s="40"/>
      <c r="H87" s="41"/>
      <c r="I87" s="38">
        <v>0.002</v>
      </c>
      <c r="J87" s="39">
        <v>0.002</v>
      </c>
      <c r="K87" s="39">
        <v>0.002</v>
      </c>
      <c r="L87" s="39">
        <f t="shared" si="21"/>
        <v>0.002</v>
      </c>
      <c r="M87" s="40"/>
      <c r="N87" s="41"/>
      <c r="O87" s="42"/>
      <c r="P87" s="40"/>
      <c r="Q87" s="40"/>
      <c r="R87" s="39">
        <f t="shared" si="13"/>
        <v>0</v>
      </c>
      <c r="S87" s="40"/>
      <c r="T87" s="41"/>
      <c r="U87" s="42"/>
      <c r="V87" s="40"/>
      <c r="W87" s="40"/>
      <c r="X87" s="39">
        <f t="shared" si="14"/>
        <v>0</v>
      </c>
      <c r="Y87" s="40"/>
      <c r="Z87" s="41"/>
      <c r="AA87" s="74"/>
      <c r="AB87" s="59">
        <f t="shared" si="22"/>
        <v>-0.017833333333333333</v>
      </c>
      <c r="AC87" s="55">
        <f t="shared" si="18"/>
        <v>-0.018</v>
      </c>
      <c r="AD87" s="55">
        <f t="shared" si="19"/>
        <v>0.001</v>
      </c>
      <c r="AE87" s="55">
        <f>IF(G88=0,999,G88)</f>
        <v>-0.017833333333333333</v>
      </c>
      <c r="AF87" s="55">
        <f>IF(M88=0,999,M88)</f>
        <v>0.001</v>
      </c>
      <c r="AG87" s="55">
        <f>IF(S88=0,999,S88)</f>
        <v>999</v>
      </c>
      <c r="AH87" s="55">
        <f>IF(Y88=0,999,Y88)</f>
        <v>999</v>
      </c>
      <c r="AI87" s="55">
        <f>MIN(ABS(AE87),ABS(AF87),ABS(AG87),ABS(AH87))</f>
        <v>0.001</v>
      </c>
      <c r="AJ87">
        <f>MATCH(AI87,AE87:AH87,0)</f>
        <v>2</v>
      </c>
      <c r="AK87" t="b">
        <f>ISNA(AJ87)</f>
        <v>0</v>
      </c>
    </row>
    <row r="88" spans="1:28" ht="12.75" customHeight="1">
      <c r="A88" s="17">
        <v>38</v>
      </c>
      <c r="B88" s="18">
        <v>33</v>
      </c>
      <c r="C88" s="43">
        <v>0.007</v>
      </c>
      <c r="D88" s="44">
        <v>0.007</v>
      </c>
      <c r="E88" s="44">
        <v>0.006</v>
      </c>
      <c r="F88" s="44">
        <f t="shared" si="16"/>
        <v>0.006666666666666667</v>
      </c>
      <c r="G88" s="44">
        <f>(F87-F88)/2</f>
        <v>-0.017833333333333333</v>
      </c>
      <c r="H88" s="45">
        <v>-0.018</v>
      </c>
      <c r="I88" s="43">
        <v>0</v>
      </c>
      <c r="J88" s="44">
        <v>0</v>
      </c>
      <c r="K88" s="44">
        <v>0</v>
      </c>
      <c r="L88" s="44">
        <f t="shared" si="21"/>
        <v>0</v>
      </c>
      <c r="M88" s="44">
        <f>(L87-L88)/2</f>
        <v>0.001</v>
      </c>
      <c r="N88" s="45"/>
      <c r="O88" s="43"/>
      <c r="P88" s="44"/>
      <c r="Q88" s="44"/>
      <c r="R88" s="44">
        <f t="shared" si="13"/>
        <v>0</v>
      </c>
      <c r="S88" s="44">
        <f>(R87-R88)/2</f>
        <v>0</v>
      </c>
      <c r="T88" s="45"/>
      <c r="U88" s="43"/>
      <c r="V88" s="44"/>
      <c r="W88" s="44"/>
      <c r="X88" s="44">
        <f t="shared" si="14"/>
        <v>0</v>
      </c>
      <c r="Y88" s="44">
        <f>(X87-X88)/2</f>
        <v>0</v>
      </c>
      <c r="Z88" s="45"/>
      <c r="AA88" s="75"/>
      <c r="AB88" s="59"/>
    </row>
    <row r="89" spans="1:37" ht="12.75" customHeight="1">
      <c r="A89" s="15">
        <v>39</v>
      </c>
      <c r="B89" s="16">
        <v>33</v>
      </c>
      <c r="C89" s="51">
        <v>-0.017</v>
      </c>
      <c r="D89" s="53">
        <v>-0.017</v>
      </c>
      <c r="E89" s="53">
        <v>-0.017</v>
      </c>
      <c r="F89" s="39">
        <f t="shared" si="16"/>
        <v>-0.017</v>
      </c>
      <c r="G89" s="40"/>
      <c r="H89" s="41"/>
      <c r="I89" s="38">
        <v>-0.005</v>
      </c>
      <c r="J89" s="39">
        <v>-0.005</v>
      </c>
      <c r="K89" s="39">
        <v>-0.005</v>
      </c>
      <c r="L89" s="39">
        <f t="shared" si="21"/>
        <v>-0.005</v>
      </c>
      <c r="M89" s="40"/>
      <c r="N89" s="41"/>
      <c r="O89" s="42"/>
      <c r="P89" s="40"/>
      <c r="Q89" s="40"/>
      <c r="R89" s="39">
        <f t="shared" si="13"/>
        <v>0</v>
      </c>
      <c r="S89" s="40"/>
      <c r="T89" s="41"/>
      <c r="U89" s="42"/>
      <c r="V89" s="40"/>
      <c r="W89" s="40"/>
      <c r="X89" s="39">
        <f t="shared" si="14"/>
        <v>0</v>
      </c>
      <c r="Y89" s="40"/>
      <c r="Z89" s="41"/>
      <c r="AA89" s="74"/>
      <c r="AB89" s="59">
        <f t="shared" si="22"/>
        <v>-0.013500000000000002</v>
      </c>
      <c r="AC89" s="55">
        <f t="shared" si="18"/>
        <v>-0.014</v>
      </c>
      <c r="AD89" s="55">
        <f t="shared" si="19"/>
        <v>-0.0009999999999999998</v>
      </c>
      <c r="AE89" s="55">
        <f>IF(G90=0,999,G90)</f>
        <v>-0.013500000000000002</v>
      </c>
      <c r="AF89" s="55">
        <f>IF(M90=0,999,M90)</f>
        <v>-0.0009999999999999998</v>
      </c>
      <c r="AG89" s="55">
        <f>IF(S90=0,999,S90)</f>
        <v>999</v>
      </c>
      <c r="AH89" s="55">
        <f>IF(Y90=0,999,Y90)</f>
        <v>999</v>
      </c>
      <c r="AI89" s="55">
        <f>MIN(ABS(AE89),ABS(AF89),ABS(AG89),ABS(AH89))</f>
        <v>0.0009999999999999998</v>
      </c>
      <c r="AJ89" t="e">
        <f>MATCH(AI89,AE89:AH89,0)</f>
        <v>#N/A</v>
      </c>
      <c r="AK89" t="b">
        <f>ISNA(AJ89)</f>
        <v>1</v>
      </c>
    </row>
    <row r="90" spans="1:28" ht="12.75" customHeight="1">
      <c r="A90" s="17">
        <v>33</v>
      </c>
      <c r="B90" s="18">
        <v>39</v>
      </c>
      <c r="C90" s="43">
        <v>0.01</v>
      </c>
      <c r="D90" s="44">
        <v>0.01</v>
      </c>
      <c r="E90" s="44">
        <v>0.01</v>
      </c>
      <c r="F90" s="44">
        <f t="shared" si="16"/>
        <v>0.01</v>
      </c>
      <c r="G90" s="44">
        <f>(F89-F90)/2</f>
        <v>-0.013500000000000002</v>
      </c>
      <c r="H90" s="45">
        <v>-0.014</v>
      </c>
      <c r="I90" s="43">
        <v>-0.003</v>
      </c>
      <c r="J90" s="44">
        <v>-0.003</v>
      </c>
      <c r="K90" s="44">
        <v>-0.003</v>
      </c>
      <c r="L90" s="44">
        <f t="shared" si="21"/>
        <v>-0.0030000000000000005</v>
      </c>
      <c r="M90" s="44">
        <f>(L89-L90)/2</f>
        <v>-0.0009999999999999998</v>
      </c>
      <c r="N90" s="45"/>
      <c r="O90" s="43"/>
      <c r="P90" s="44"/>
      <c r="Q90" s="44"/>
      <c r="R90" s="44">
        <f t="shared" si="13"/>
        <v>0</v>
      </c>
      <c r="S90" s="44">
        <f>(R89-R90)/2</f>
        <v>0</v>
      </c>
      <c r="T90" s="45"/>
      <c r="U90" s="43"/>
      <c r="V90" s="44"/>
      <c r="W90" s="44"/>
      <c r="X90" s="44">
        <f t="shared" si="14"/>
        <v>0</v>
      </c>
      <c r="Y90" s="44">
        <f>(X89-X90)/2</f>
        <v>0</v>
      </c>
      <c r="Z90" s="45"/>
      <c r="AA90" s="75"/>
      <c r="AB90" s="59"/>
    </row>
    <row r="91" spans="1:37" ht="12.75" customHeight="1">
      <c r="A91" s="15">
        <v>28</v>
      </c>
      <c r="B91" s="16">
        <v>33</v>
      </c>
      <c r="C91" s="38">
        <v>-0.038</v>
      </c>
      <c r="D91" s="39">
        <v>-0.038</v>
      </c>
      <c r="E91" s="39">
        <v>-0.039</v>
      </c>
      <c r="F91" s="39">
        <f t="shared" si="16"/>
        <v>-0.03833333333333333</v>
      </c>
      <c r="G91" s="40"/>
      <c r="H91" s="41"/>
      <c r="I91" s="42">
        <v>-0.006</v>
      </c>
      <c r="J91" s="40">
        <v>-0.006</v>
      </c>
      <c r="K91" s="40">
        <v>-0.006</v>
      </c>
      <c r="L91" s="39">
        <f t="shared" si="21"/>
        <v>-0.006000000000000001</v>
      </c>
      <c r="M91" s="40"/>
      <c r="N91" s="41"/>
      <c r="O91" s="42"/>
      <c r="P91" s="40"/>
      <c r="Q91" s="40"/>
      <c r="R91" s="39">
        <f t="shared" si="13"/>
        <v>0</v>
      </c>
      <c r="S91" s="40"/>
      <c r="T91" s="41"/>
      <c r="U91" s="42"/>
      <c r="V91" s="40"/>
      <c r="W91" s="40"/>
      <c r="X91" s="39">
        <f t="shared" si="14"/>
        <v>0</v>
      </c>
      <c r="Y91" s="40"/>
      <c r="Z91" s="41"/>
      <c r="AA91" s="74"/>
      <c r="AB91" s="59">
        <f t="shared" si="22"/>
        <v>-0.018166666666666664</v>
      </c>
      <c r="AC91" s="55">
        <f t="shared" si="18"/>
        <v>-0.018</v>
      </c>
      <c r="AD91" s="55">
        <f t="shared" si="19"/>
        <v>-0.0015000000000000002</v>
      </c>
      <c r="AE91" s="55">
        <f>IF(G92=0,999,G92)</f>
        <v>-0.018166666666666664</v>
      </c>
      <c r="AF91" s="55">
        <f>IF(M92=0,999,M92)</f>
        <v>-0.0015000000000000002</v>
      </c>
      <c r="AG91" s="55">
        <f>IF(S92=0,999,S92)</f>
        <v>999</v>
      </c>
      <c r="AH91" s="55">
        <f>IF(Y92=0,999,Y92)</f>
        <v>999</v>
      </c>
      <c r="AI91" s="55">
        <f>MIN(ABS(AE91),ABS(AF91),ABS(AG91),ABS(AH91))</f>
        <v>0.0015000000000000002</v>
      </c>
      <c r="AJ91" t="e">
        <f>MATCH(AI91,AE91:AH91,0)</f>
        <v>#N/A</v>
      </c>
      <c r="AK91" t="b">
        <f>ISNA(AJ91)</f>
        <v>1</v>
      </c>
    </row>
    <row r="92" spans="1:28" ht="12.75" customHeight="1">
      <c r="A92" s="17">
        <v>33</v>
      </c>
      <c r="B92" s="18">
        <v>28</v>
      </c>
      <c r="C92" s="43">
        <v>-0.002</v>
      </c>
      <c r="D92" s="44">
        <v>-0.002</v>
      </c>
      <c r="E92" s="44">
        <v>-0.002</v>
      </c>
      <c r="F92" s="44">
        <f t="shared" si="16"/>
        <v>-0.002</v>
      </c>
      <c r="G92" s="44">
        <f>(F91-F92)/2</f>
        <v>-0.018166666666666664</v>
      </c>
      <c r="H92" s="45">
        <v>-0.018</v>
      </c>
      <c r="I92" s="43">
        <v>-0.003</v>
      </c>
      <c r="J92" s="44">
        <v>-0.003</v>
      </c>
      <c r="K92" s="44">
        <v>-0.003</v>
      </c>
      <c r="L92" s="44">
        <f t="shared" si="21"/>
        <v>-0.0030000000000000005</v>
      </c>
      <c r="M92" s="44">
        <f>(L91-L92)/2</f>
        <v>-0.0015000000000000002</v>
      </c>
      <c r="N92" s="45"/>
      <c r="O92" s="43"/>
      <c r="P92" s="44"/>
      <c r="Q92" s="44"/>
      <c r="R92" s="44">
        <f t="shared" si="13"/>
        <v>0</v>
      </c>
      <c r="S92" s="44">
        <f>(R91-R92)/2</f>
        <v>0</v>
      </c>
      <c r="T92" s="45"/>
      <c r="U92" s="43"/>
      <c r="V92" s="44"/>
      <c r="W92" s="44"/>
      <c r="X92" s="44">
        <f t="shared" si="14"/>
        <v>0</v>
      </c>
      <c r="Y92" s="44">
        <f>(X91-X92)/2</f>
        <v>0</v>
      </c>
      <c r="Z92" s="45"/>
      <c r="AA92" s="75"/>
      <c r="AB92" s="59"/>
    </row>
    <row r="93" spans="1:37" ht="12.75" customHeight="1">
      <c r="A93" s="15">
        <v>34</v>
      </c>
      <c r="B93" s="16">
        <v>28</v>
      </c>
      <c r="C93" s="51">
        <v>-0.003</v>
      </c>
      <c r="D93" s="53">
        <v>-0.005</v>
      </c>
      <c r="E93" s="53">
        <v>-0.005</v>
      </c>
      <c r="F93" s="39">
        <f t="shared" si="16"/>
        <v>-0.004333333333333334</v>
      </c>
      <c r="G93" s="40"/>
      <c r="H93" s="41"/>
      <c r="I93" s="42"/>
      <c r="J93" s="40"/>
      <c r="K93" s="40"/>
      <c r="L93" s="39">
        <f t="shared" si="21"/>
        <v>0</v>
      </c>
      <c r="M93" s="40"/>
      <c r="N93" s="41"/>
      <c r="O93" s="42"/>
      <c r="P93" s="40"/>
      <c r="Q93" s="40"/>
      <c r="R93" s="39">
        <f t="shared" si="13"/>
        <v>0</v>
      </c>
      <c r="S93" s="40"/>
      <c r="T93" s="41"/>
      <c r="U93" s="42"/>
      <c r="V93" s="40"/>
      <c r="W93" s="40"/>
      <c r="X93" s="39">
        <f t="shared" si="14"/>
        <v>0</v>
      </c>
      <c r="Y93" s="40"/>
      <c r="Z93" s="41"/>
      <c r="AA93" s="74"/>
      <c r="AB93" s="59">
        <f t="shared" si="22"/>
        <v>-0.005666666666666667</v>
      </c>
      <c r="AC93" s="55">
        <f t="shared" si="18"/>
        <v>0</v>
      </c>
      <c r="AD93" s="55">
        <f t="shared" si="19"/>
        <v>-0.005666666666666667</v>
      </c>
      <c r="AE93" s="55">
        <f>IF(G94=0,999,G94)</f>
        <v>-0.005666666666666667</v>
      </c>
      <c r="AF93" s="55">
        <f>IF(M94=0,999,M94)</f>
        <v>999</v>
      </c>
      <c r="AG93" s="55">
        <f>IF(S94=0,999,S94)</f>
        <v>999</v>
      </c>
      <c r="AH93" s="55">
        <f>IF(Y94=0,999,Y94)</f>
        <v>999</v>
      </c>
      <c r="AI93" s="55">
        <f>MIN(ABS(AE93),ABS(AF93),ABS(AG93),ABS(AH93))</f>
        <v>0.005666666666666667</v>
      </c>
      <c r="AJ93" t="e">
        <f>MATCH(AI93,AE93:AH93,0)</f>
        <v>#N/A</v>
      </c>
      <c r="AK93" t="b">
        <f>ISNA(AJ93)</f>
        <v>1</v>
      </c>
    </row>
    <row r="94" spans="1:28" ht="12.75" customHeight="1">
      <c r="A94" s="17">
        <v>28</v>
      </c>
      <c r="B94" s="18">
        <v>34</v>
      </c>
      <c r="C94" s="43">
        <v>0.007</v>
      </c>
      <c r="D94" s="44">
        <v>0.007</v>
      </c>
      <c r="E94" s="44">
        <v>0.007</v>
      </c>
      <c r="F94" s="44">
        <f t="shared" si="16"/>
        <v>0.007</v>
      </c>
      <c r="G94" s="44">
        <f>(F93-F94)/2</f>
        <v>-0.005666666666666667</v>
      </c>
      <c r="H94" s="45"/>
      <c r="I94" s="43"/>
      <c r="J94" s="44"/>
      <c r="K94" s="44"/>
      <c r="L94" s="44">
        <f t="shared" si="21"/>
        <v>0</v>
      </c>
      <c r="M94" s="44">
        <f>(L93-L94)/2</f>
        <v>0</v>
      </c>
      <c r="N94" s="45"/>
      <c r="O94" s="43"/>
      <c r="P94" s="44"/>
      <c r="Q94" s="44"/>
      <c r="R94" s="44">
        <f t="shared" si="13"/>
        <v>0</v>
      </c>
      <c r="S94" s="44">
        <f>(R93-R94)/2</f>
        <v>0</v>
      </c>
      <c r="T94" s="45"/>
      <c r="U94" s="43"/>
      <c r="V94" s="44"/>
      <c r="W94" s="44"/>
      <c r="X94" s="44">
        <f t="shared" si="14"/>
        <v>0</v>
      </c>
      <c r="Y94" s="44">
        <f>(X93-X94)/2</f>
        <v>0</v>
      </c>
      <c r="Z94" s="45"/>
      <c r="AA94" s="75"/>
      <c r="AB94" s="59"/>
    </row>
    <row r="95" spans="1:37" ht="12.75" customHeight="1">
      <c r="A95" s="15">
        <v>23</v>
      </c>
      <c r="B95" s="16">
        <v>28</v>
      </c>
      <c r="C95" s="38">
        <v>0.008</v>
      </c>
      <c r="D95" s="39">
        <v>0.008</v>
      </c>
      <c r="E95" s="39">
        <v>0.008</v>
      </c>
      <c r="F95" s="39">
        <f t="shared" si="16"/>
        <v>0.008</v>
      </c>
      <c r="G95" s="40"/>
      <c r="H95" s="41"/>
      <c r="I95" s="38">
        <v>-0.006</v>
      </c>
      <c r="J95" s="39">
        <v>-0.006</v>
      </c>
      <c r="K95" s="39">
        <v>-0.006</v>
      </c>
      <c r="L95" s="39">
        <f aca="true" t="shared" si="23" ref="L95:L102">SUM(I95:K95)/3</f>
        <v>-0.006000000000000001</v>
      </c>
      <c r="M95" s="40"/>
      <c r="N95" s="41"/>
      <c r="O95" s="42"/>
      <c r="P95" s="40"/>
      <c r="Q95" s="40"/>
      <c r="R95" s="39">
        <f t="shared" si="13"/>
        <v>0</v>
      </c>
      <c r="S95" s="40"/>
      <c r="T95" s="41"/>
      <c r="U95" s="42"/>
      <c r="V95" s="40"/>
      <c r="W95" s="40"/>
      <c r="X95" s="39">
        <f t="shared" si="14"/>
        <v>0</v>
      </c>
      <c r="Y95" s="40"/>
      <c r="Z95" s="41"/>
      <c r="AA95" s="74"/>
      <c r="AB95" s="59">
        <f t="shared" si="22"/>
        <v>0.015000000000000001</v>
      </c>
      <c r="AC95" s="55">
        <f t="shared" si="18"/>
        <v>0.015</v>
      </c>
      <c r="AD95" s="55">
        <f t="shared" si="19"/>
        <v>0.0023333333333333327</v>
      </c>
      <c r="AE95" s="55">
        <f>IF(G96=0,999,G96)</f>
        <v>0.015000000000000001</v>
      </c>
      <c r="AF95" s="55">
        <f>IF(M96=0,999,M96)</f>
        <v>0.0023333333333333327</v>
      </c>
      <c r="AG95" s="55">
        <f>IF(S96=0,999,S96)</f>
        <v>999</v>
      </c>
      <c r="AH95" s="55">
        <f>IF(Y96=0,999,Y96)</f>
        <v>999</v>
      </c>
      <c r="AI95" s="55">
        <f>MIN(ABS(AE95),ABS(AF95),ABS(AG95),ABS(AH95))</f>
        <v>0.0023333333333333327</v>
      </c>
      <c r="AJ95">
        <f>MATCH(AI95,AE95:AH95,0)</f>
        <v>2</v>
      </c>
      <c r="AK95" t="b">
        <f>ISNA(AJ95)</f>
        <v>0</v>
      </c>
    </row>
    <row r="96" spans="1:28" ht="12.75" customHeight="1">
      <c r="A96" s="17">
        <v>28</v>
      </c>
      <c r="B96" s="18">
        <v>23</v>
      </c>
      <c r="C96" s="43">
        <v>-0.022</v>
      </c>
      <c r="D96" s="44">
        <v>-0.022</v>
      </c>
      <c r="E96" s="44">
        <v>-0.022</v>
      </c>
      <c r="F96" s="44">
        <f t="shared" si="16"/>
        <v>-0.022000000000000002</v>
      </c>
      <c r="G96" s="44">
        <f>(F95-F96)/2</f>
        <v>0.015000000000000001</v>
      </c>
      <c r="H96" s="45">
        <v>0.015</v>
      </c>
      <c r="I96" s="43">
        <v>-0.011</v>
      </c>
      <c r="J96" s="44">
        <v>-0.01</v>
      </c>
      <c r="K96" s="44">
        <v>-0.011</v>
      </c>
      <c r="L96" s="44">
        <f t="shared" si="23"/>
        <v>-0.010666666666666666</v>
      </c>
      <c r="M96" s="44">
        <f>(L95-L96)/2</f>
        <v>0.0023333333333333327</v>
      </c>
      <c r="N96" s="45"/>
      <c r="O96" s="43"/>
      <c r="P96" s="44"/>
      <c r="Q96" s="44"/>
      <c r="R96" s="44">
        <f t="shared" si="13"/>
        <v>0</v>
      </c>
      <c r="S96" s="44">
        <f>(R95-R96)/2</f>
        <v>0</v>
      </c>
      <c r="T96" s="45"/>
      <c r="U96" s="43"/>
      <c r="V96" s="44"/>
      <c r="W96" s="44"/>
      <c r="X96" s="44">
        <f t="shared" si="14"/>
        <v>0</v>
      </c>
      <c r="Y96" s="44">
        <f>(X95-X96)/2</f>
        <v>0</v>
      </c>
      <c r="Z96" s="45"/>
      <c r="AA96" s="75"/>
      <c r="AB96" s="59"/>
    </row>
    <row r="97" spans="1:37" ht="12.75" customHeight="1">
      <c r="A97" s="15">
        <v>29</v>
      </c>
      <c r="B97" s="16">
        <v>23</v>
      </c>
      <c r="C97" s="38">
        <v>-0.005</v>
      </c>
      <c r="D97" s="39">
        <v>-0.005</v>
      </c>
      <c r="E97" s="39">
        <v>-0.005</v>
      </c>
      <c r="F97" s="39">
        <f t="shared" si="16"/>
        <v>-0.005</v>
      </c>
      <c r="G97" s="40"/>
      <c r="H97" s="41"/>
      <c r="I97" s="42"/>
      <c r="J97" s="40"/>
      <c r="K97" s="40"/>
      <c r="L97" s="39">
        <f t="shared" si="23"/>
        <v>0</v>
      </c>
      <c r="M97" s="40"/>
      <c r="N97" s="41"/>
      <c r="O97" s="42"/>
      <c r="P97" s="40"/>
      <c r="Q97" s="40"/>
      <c r="R97" s="39">
        <f>SUM(O97:Q97)/3</f>
        <v>0</v>
      </c>
      <c r="S97" s="40"/>
      <c r="T97" s="41"/>
      <c r="U97" s="42"/>
      <c r="V97" s="40"/>
      <c r="W97" s="40"/>
      <c r="X97" s="39">
        <f>SUM(U97:W97)/3</f>
        <v>0</v>
      </c>
      <c r="Y97" s="40"/>
      <c r="Z97" s="41"/>
      <c r="AA97" s="76"/>
      <c r="AB97" s="59">
        <f t="shared" si="22"/>
        <v>0</v>
      </c>
      <c r="AC97" s="55">
        <f t="shared" si="18"/>
        <v>0</v>
      </c>
      <c r="AD97" s="55">
        <f t="shared" si="19"/>
        <v>999</v>
      </c>
      <c r="AE97" s="55">
        <f>IF(G98=0,999,G98)</f>
        <v>999</v>
      </c>
      <c r="AF97" s="55">
        <f>IF(M98=0,999,M98)</f>
        <v>999</v>
      </c>
      <c r="AG97" s="55">
        <f>IF(S98=0,999,S98)</f>
        <v>999</v>
      </c>
      <c r="AH97" s="55">
        <f>IF(Y98=0,999,Y98)</f>
        <v>999</v>
      </c>
      <c r="AI97" s="55">
        <f>MIN(ABS(AE97),ABS(AF97),ABS(AG97),ABS(AH97))</f>
        <v>999</v>
      </c>
      <c r="AJ97">
        <f>MATCH(AI97,AE97:AH97,0)</f>
        <v>1</v>
      </c>
      <c r="AK97" t="b">
        <f>ISNA(AJ97)</f>
        <v>0</v>
      </c>
    </row>
    <row r="98" spans="1:28" ht="12.75" customHeight="1">
      <c r="A98" s="17">
        <v>23</v>
      </c>
      <c r="B98" s="18">
        <v>29</v>
      </c>
      <c r="C98" s="43">
        <v>-0.005</v>
      </c>
      <c r="D98" s="44">
        <v>-0.005</v>
      </c>
      <c r="E98" s="44">
        <v>-0.005</v>
      </c>
      <c r="F98" s="44">
        <f t="shared" si="16"/>
        <v>-0.005</v>
      </c>
      <c r="G98" s="44">
        <f>(F97-F98)/2</f>
        <v>0</v>
      </c>
      <c r="H98" s="45"/>
      <c r="I98" s="46"/>
      <c r="J98" s="47"/>
      <c r="K98" s="47"/>
      <c r="L98" s="44">
        <f t="shared" si="23"/>
        <v>0</v>
      </c>
      <c r="M98" s="44">
        <f>(L97-L98)/2</f>
        <v>0</v>
      </c>
      <c r="N98" s="45"/>
      <c r="O98" s="46"/>
      <c r="P98" s="47"/>
      <c r="Q98" s="47"/>
      <c r="R98" s="44">
        <f>SUM(O98:Q98)/3</f>
        <v>0</v>
      </c>
      <c r="S98" s="44">
        <f>(R97-R98)/2</f>
        <v>0</v>
      </c>
      <c r="T98" s="48"/>
      <c r="U98" s="46"/>
      <c r="V98" s="47"/>
      <c r="W98" s="47"/>
      <c r="X98" s="44">
        <f>SUM(U98:W98)/3</f>
        <v>0</v>
      </c>
      <c r="Y98" s="44">
        <f>(X97-X98)/2</f>
        <v>0</v>
      </c>
      <c r="Z98" s="45"/>
      <c r="AA98" s="75"/>
      <c r="AB98" s="59"/>
    </row>
    <row r="99" spans="1:37" ht="12.75" customHeight="1">
      <c r="A99" s="15">
        <v>90</v>
      </c>
      <c r="B99" s="16">
        <v>23</v>
      </c>
      <c r="C99" s="51">
        <v>0.035</v>
      </c>
      <c r="D99" s="53">
        <v>0.035</v>
      </c>
      <c r="E99" s="53">
        <v>0.035</v>
      </c>
      <c r="F99" s="39">
        <f t="shared" si="16"/>
        <v>0.035</v>
      </c>
      <c r="G99" s="40"/>
      <c r="H99" s="41"/>
      <c r="I99" s="38">
        <v>0.005</v>
      </c>
      <c r="J99" s="39">
        <v>0.005</v>
      </c>
      <c r="K99" s="39">
        <v>0.005</v>
      </c>
      <c r="L99" s="39">
        <f t="shared" si="23"/>
        <v>0.005</v>
      </c>
      <c r="M99" s="40"/>
      <c r="N99" s="41"/>
      <c r="O99" s="42"/>
      <c r="P99" s="40"/>
      <c r="Q99" s="40"/>
      <c r="R99" s="39">
        <f aca="true" t="shared" si="24" ref="R99:R104">SUM(O99:Q99)/3</f>
        <v>0</v>
      </c>
      <c r="S99" s="40"/>
      <c r="T99" s="41"/>
      <c r="U99" s="42"/>
      <c r="V99" s="40"/>
      <c r="W99" s="40"/>
      <c r="X99" s="39">
        <f aca="true" t="shared" si="25" ref="X99:X104">SUM(U99:W99)/3</f>
        <v>0</v>
      </c>
      <c r="Y99" s="40"/>
      <c r="Z99" s="41"/>
      <c r="AA99" s="74"/>
      <c r="AB99" s="59">
        <f t="shared" si="22"/>
        <v>0.034</v>
      </c>
      <c r="AC99" s="55">
        <f t="shared" si="18"/>
        <v>0.034</v>
      </c>
      <c r="AD99" s="55">
        <f t="shared" si="19"/>
        <v>0.004</v>
      </c>
      <c r="AE99" s="55">
        <f>IF(G100=0,999,G100)</f>
        <v>0.034</v>
      </c>
      <c r="AF99" s="55">
        <f>IF(M100=0,999,M100)</f>
        <v>0.004</v>
      </c>
      <c r="AG99" s="55">
        <f>IF(S100=0,999,S100)</f>
        <v>999</v>
      </c>
      <c r="AH99" s="55">
        <f>IF(Y100=0,999,Y100)</f>
        <v>999</v>
      </c>
      <c r="AI99" s="55">
        <f>MIN(ABS(AE99),ABS(AF99),ABS(AG99),ABS(AH99))</f>
        <v>0.004</v>
      </c>
      <c r="AJ99">
        <f>MATCH(AI99,AE99:AH99,0)</f>
        <v>2</v>
      </c>
      <c r="AK99" t="b">
        <f>ISNA(AJ99)</f>
        <v>0</v>
      </c>
    </row>
    <row r="100" spans="1:28" ht="12.75" customHeight="1">
      <c r="A100" s="17">
        <v>23</v>
      </c>
      <c r="B100" s="18">
        <v>90</v>
      </c>
      <c r="C100" s="43">
        <v>-0.033</v>
      </c>
      <c r="D100" s="44">
        <v>-0.033</v>
      </c>
      <c r="E100" s="44">
        <v>-0.033</v>
      </c>
      <c r="F100" s="44">
        <f t="shared" si="16"/>
        <v>-0.033</v>
      </c>
      <c r="G100" s="44">
        <f>(F99-F100)/2</f>
        <v>0.034</v>
      </c>
      <c r="H100" s="45">
        <v>0.034</v>
      </c>
      <c r="I100" s="43">
        <v>-0.003</v>
      </c>
      <c r="J100" s="44">
        <v>-0.003</v>
      </c>
      <c r="K100" s="44">
        <v>-0.003</v>
      </c>
      <c r="L100" s="44">
        <f t="shared" si="23"/>
        <v>-0.0030000000000000005</v>
      </c>
      <c r="M100" s="44">
        <f>(L99-L100)/2</f>
        <v>0.004</v>
      </c>
      <c r="N100" s="45"/>
      <c r="O100" s="43"/>
      <c r="P100" s="44"/>
      <c r="Q100" s="44"/>
      <c r="R100" s="44">
        <f t="shared" si="24"/>
        <v>0</v>
      </c>
      <c r="S100" s="44">
        <f>(R99-R100)/2</f>
        <v>0</v>
      </c>
      <c r="T100" s="45"/>
      <c r="U100" s="43"/>
      <c r="V100" s="44"/>
      <c r="W100" s="44"/>
      <c r="X100" s="44">
        <f t="shared" si="25"/>
        <v>0</v>
      </c>
      <c r="Y100" s="44">
        <f>(X99-X100)/2</f>
        <v>0</v>
      </c>
      <c r="Z100" s="45"/>
      <c r="AA100" s="75"/>
      <c r="AB100" s="59"/>
    </row>
    <row r="101" spans="1:37" ht="12.75" customHeight="1">
      <c r="A101" s="15">
        <v>40</v>
      </c>
      <c r="B101" s="16">
        <v>34</v>
      </c>
      <c r="C101" s="51">
        <v>0.039</v>
      </c>
      <c r="D101" s="53">
        <v>0.039</v>
      </c>
      <c r="E101" s="53">
        <v>0.039</v>
      </c>
      <c r="F101" s="39">
        <f t="shared" si="16"/>
        <v>0.039</v>
      </c>
      <c r="G101" s="40"/>
      <c r="H101" s="41"/>
      <c r="I101" s="42">
        <v>-0.003</v>
      </c>
      <c r="J101" s="40">
        <v>-0.003</v>
      </c>
      <c r="K101" s="40">
        <v>-0.005</v>
      </c>
      <c r="L101" s="39">
        <f t="shared" si="23"/>
        <v>-0.0036666666666666666</v>
      </c>
      <c r="M101" s="40"/>
      <c r="N101" s="41"/>
      <c r="O101" s="42"/>
      <c r="P101" s="40"/>
      <c r="Q101" s="40"/>
      <c r="R101" s="39">
        <f t="shared" si="24"/>
        <v>0</v>
      </c>
      <c r="S101" s="40"/>
      <c r="T101" s="41"/>
      <c r="U101" s="42"/>
      <c r="V101" s="40"/>
      <c r="W101" s="40"/>
      <c r="X101" s="39">
        <f t="shared" si="25"/>
        <v>0</v>
      </c>
      <c r="Y101" s="40"/>
      <c r="Z101" s="41"/>
      <c r="AA101" s="74"/>
      <c r="AB101" s="59">
        <f t="shared" si="22"/>
        <v>0.041833333333333333</v>
      </c>
      <c r="AC101" s="55">
        <f t="shared" si="18"/>
        <v>0.042</v>
      </c>
      <c r="AD101" s="55">
        <f t="shared" si="19"/>
        <v>-0.0013333333333333333</v>
      </c>
      <c r="AE101" s="55">
        <f>IF(G102=0,999,G102)</f>
        <v>0.041833333333333333</v>
      </c>
      <c r="AF101" s="55">
        <f>IF(M102=0,999,M102)</f>
        <v>-0.0013333333333333333</v>
      </c>
      <c r="AG101" s="55">
        <f>IF(S102=0,999,S102)</f>
        <v>999</v>
      </c>
      <c r="AH101" s="55">
        <f>IF(Y102=0,999,Y102)</f>
        <v>999</v>
      </c>
      <c r="AI101" s="55">
        <f>MIN(ABS(AE101),ABS(AF101),ABS(AG101),ABS(AH101))</f>
        <v>0.0013333333333333333</v>
      </c>
      <c r="AJ101" t="e">
        <f>MATCH(AI101,AE101:AH101,0)</f>
        <v>#N/A</v>
      </c>
      <c r="AK101" t="b">
        <f>ISNA(AJ101)</f>
        <v>1</v>
      </c>
    </row>
    <row r="102" spans="1:28" ht="12.75" customHeight="1">
      <c r="A102" s="17">
        <v>34</v>
      </c>
      <c r="B102" s="18">
        <v>40</v>
      </c>
      <c r="C102" s="43">
        <v>-0.044</v>
      </c>
      <c r="D102" s="44">
        <v>-0.045</v>
      </c>
      <c r="E102" s="44">
        <v>-0.045</v>
      </c>
      <c r="F102" s="44">
        <f t="shared" si="16"/>
        <v>-0.04466666666666667</v>
      </c>
      <c r="G102" s="44">
        <f>(F101-F102)/2</f>
        <v>0.041833333333333333</v>
      </c>
      <c r="H102" s="45">
        <v>0.042</v>
      </c>
      <c r="I102" s="43">
        <v>-0.001</v>
      </c>
      <c r="J102" s="44">
        <v>-0.001</v>
      </c>
      <c r="K102" s="44">
        <v>-0.001</v>
      </c>
      <c r="L102" s="44">
        <f t="shared" si="23"/>
        <v>-0.001</v>
      </c>
      <c r="M102" s="44">
        <f>(L101-L102)/2</f>
        <v>-0.0013333333333333333</v>
      </c>
      <c r="N102" s="45"/>
      <c r="O102" s="43"/>
      <c r="P102" s="44"/>
      <c r="Q102" s="44"/>
      <c r="R102" s="44">
        <f t="shared" si="24"/>
        <v>0</v>
      </c>
      <c r="S102" s="44">
        <f>(R101-R102)/2</f>
        <v>0</v>
      </c>
      <c r="T102" s="45"/>
      <c r="U102" s="43"/>
      <c r="V102" s="44"/>
      <c r="W102" s="44"/>
      <c r="X102" s="44">
        <f t="shared" si="25"/>
        <v>0</v>
      </c>
      <c r="Y102" s="44">
        <f>(X101-X102)/2</f>
        <v>0</v>
      </c>
      <c r="Z102" s="45"/>
      <c r="AA102" s="75"/>
      <c r="AB102" s="59"/>
    </row>
    <row r="103" spans="1:37" ht="12.75" customHeight="1">
      <c r="A103" s="15">
        <v>45</v>
      </c>
      <c r="B103" s="16">
        <v>39</v>
      </c>
      <c r="C103" s="51">
        <v>-0.016</v>
      </c>
      <c r="D103" s="53">
        <v>-0.016</v>
      </c>
      <c r="E103" s="53">
        <v>-0.016</v>
      </c>
      <c r="F103" s="39">
        <f t="shared" si="16"/>
        <v>-0.016</v>
      </c>
      <c r="G103" s="40"/>
      <c r="H103" s="41"/>
      <c r="I103" s="38">
        <v>-0.029</v>
      </c>
      <c r="J103" s="39">
        <v>-0.029</v>
      </c>
      <c r="K103" s="39">
        <v>-0.029</v>
      </c>
      <c r="L103" s="39">
        <f aca="true" t="shared" si="26" ref="L103:L108">SUM(I103:K103)/3</f>
        <v>-0.029</v>
      </c>
      <c r="M103" s="40"/>
      <c r="N103" s="41"/>
      <c r="O103" s="42">
        <v>0</v>
      </c>
      <c r="P103" s="40">
        <v>0</v>
      </c>
      <c r="Q103" s="40">
        <v>0</v>
      </c>
      <c r="R103" s="39">
        <f t="shared" si="24"/>
        <v>0</v>
      </c>
      <c r="S103" s="40"/>
      <c r="T103" s="41"/>
      <c r="U103" s="42"/>
      <c r="V103" s="40"/>
      <c r="W103" s="40"/>
      <c r="X103" s="39">
        <f t="shared" si="25"/>
        <v>0</v>
      </c>
      <c r="Y103" s="40"/>
      <c r="Z103" s="41"/>
      <c r="AA103" s="74"/>
      <c r="AB103" s="59">
        <f t="shared" si="22"/>
        <v>-0.0115</v>
      </c>
      <c r="AC103" s="55">
        <f t="shared" si="18"/>
        <v>-0.013000000000000001</v>
      </c>
      <c r="AD103" s="55">
        <f t="shared" si="19"/>
        <v>-0.0115</v>
      </c>
      <c r="AE103" s="55">
        <f>IF(G104=0,999,G104)</f>
        <v>-0.0115</v>
      </c>
      <c r="AF103" s="55">
        <f>IF(M104=0,999,M104)</f>
        <v>-0.0245</v>
      </c>
      <c r="AG103" s="55">
        <f>IF(S104=0,999,S104)</f>
        <v>999</v>
      </c>
      <c r="AH103" s="55">
        <f>IF(Y104=0,999,Y104)</f>
        <v>999</v>
      </c>
      <c r="AI103" s="55">
        <f>MIN(ABS(AE103),ABS(AF103),ABS(AG103),ABS(AH103))</f>
        <v>0.0115</v>
      </c>
      <c r="AJ103" t="e">
        <f>MATCH(AI103,AE103:AH103,0)</f>
        <v>#N/A</v>
      </c>
      <c r="AK103" t="b">
        <f>ISNA(AJ103)</f>
        <v>1</v>
      </c>
    </row>
    <row r="104" spans="1:28" ht="12.75" customHeight="1">
      <c r="A104" s="17">
        <v>39</v>
      </c>
      <c r="B104" s="18">
        <v>45</v>
      </c>
      <c r="C104" s="43">
        <v>0.007</v>
      </c>
      <c r="D104" s="44">
        <v>0.007</v>
      </c>
      <c r="E104" s="44">
        <v>0.007</v>
      </c>
      <c r="F104" s="44">
        <f t="shared" si="16"/>
        <v>0.007</v>
      </c>
      <c r="G104" s="44">
        <f>(F103-F104)/2</f>
        <v>-0.0115</v>
      </c>
      <c r="H104" s="45">
        <v>0.012</v>
      </c>
      <c r="I104" s="43">
        <v>0.02</v>
      </c>
      <c r="J104" s="44">
        <v>0.02</v>
      </c>
      <c r="K104" s="44">
        <v>0.02</v>
      </c>
      <c r="L104" s="44">
        <f t="shared" si="26"/>
        <v>0.02</v>
      </c>
      <c r="M104" s="44">
        <f>(L103-L104)/2</f>
        <v>-0.0245</v>
      </c>
      <c r="N104" s="45">
        <v>-0.025</v>
      </c>
      <c r="O104" s="43">
        <v>0</v>
      </c>
      <c r="P104" s="44">
        <v>0.001</v>
      </c>
      <c r="Q104" s="44">
        <v>-0.001</v>
      </c>
      <c r="R104" s="44">
        <f t="shared" si="24"/>
        <v>0</v>
      </c>
      <c r="S104" s="44">
        <f>(R103-R104)/2</f>
        <v>0</v>
      </c>
      <c r="T104" s="45"/>
      <c r="U104" s="43"/>
      <c r="V104" s="44"/>
      <c r="W104" s="44"/>
      <c r="X104" s="44">
        <f t="shared" si="25"/>
        <v>0</v>
      </c>
      <c r="Y104" s="44">
        <f>(X103-X104)/2</f>
        <v>0</v>
      </c>
      <c r="Z104" s="45"/>
      <c r="AA104" s="75"/>
      <c r="AB104" s="59"/>
    </row>
    <row r="105" spans="1:37" ht="12.75" customHeight="1">
      <c r="A105" s="15">
        <v>51</v>
      </c>
      <c r="B105" s="16">
        <v>45</v>
      </c>
      <c r="C105" s="38">
        <v>0.012</v>
      </c>
      <c r="D105" s="39">
        <v>0.012</v>
      </c>
      <c r="E105" s="39">
        <v>0.011</v>
      </c>
      <c r="F105" s="39">
        <f aca="true" t="shared" si="27" ref="F105:F136">SUM(C105:E105)/3</f>
        <v>0.011666666666666667</v>
      </c>
      <c r="G105" s="40"/>
      <c r="H105" s="41"/>
      <c r="I105" s="38">
        <v>-0.003</v>
      </c>
      <c r="J105" s="39">
        <v>-0.003</v>
      </c>
      <c r="K105" s="39">
        <v>-0.003</v>
      </c>
      <c r="L105" s="39">
        <f t="shared" si="26"/>
        <v>-0.0030000000000000005</v>
      </c>
      <c r="M105" s="40"/>
      <c r="N105" s="41"/>
      <c r="O105" s="38"/>
      <c r="P105" s="39"/>
      <c r="Q105" s="39"/>
      <c r="R105" s="39">
        <f>SUM(O105:Q105)/3</f>
        <v>0</v>
      </c>
      <c r="S105" s="40"/>
      <c r="T105" s="41"/>
      <c r="U105" s="38"/>
      <c r="V105" s="39"/>
      <c r="W105" s="39"/>
      <c r="X105" s="39">
        <f>SUM(U105:W105)/3</f>
        <v>0</v>
      </c>
      <c r="Y105" s="40"/>
      <c r="Z105" s="41"/>
      <c r="AA105" s="74"/>
      <c r="AB105" s="59">
        <f t="shared" si="22"/>
        <v>0.014000000000000002</v>
      </c>
      <c r="AC105" s="55">
        <f t="shared" si="18"/>
        <v>0.014</v>
      </c>
      <c r="AD105" s="55">
        <f t="shared" si="19"/>
        <v>-0.0013333333333333335</v>
      </c>
      <c r="AE105" s="55">
        <f>IF(G106=0,999,G106)</f>
        <v>0.014000000000000002</v>
      </c>
      <c r="AF105" s="55">
        <f>IF(M106=0,999,M106)</f>
        <v>-0.0013333333333333335</v>
      </c>
      <c r="AG105" s="55">
        <f>IF(S106=0,999,S106)</f>
        <v>999</v>
      </c>
      <c r="AH105" s="55">
        <f>IF(Y106=0,999,Y106)</f>
        <v>999</v>
      </c>
      <c r="AI105" s="55">
        <f>MIN(ABS(AE105),ABS(AF105),ABS(AG105),ABS(AH105))</f>
        <v>0.0013333333333333335</v>
      </c>
      <c r="AJ105" t="e">
        <f>MATCH(AI105,AE105:AH105,0)</f>
        <v>#N/A</v>
      </c>
      <c r="AK105" t="b">
        <f>ISNA(AJ105)</f>
        <v>1</v>
      </c>
    </row>
    <row r="106" spans="1:28" ht="12.75" customHeight="1">
      <c r="A106" s="17">
        <v>45</v>
      </c>
      <c r="B106" s="18">
        <v>51</v>
      </c>
      <c r="C106" s="43">
        <v>-0.016</v>
      </c>
      <c r="D106" s="44">
        <v>-0.016</v>
      </c>
      <c r="E106" s="44">
        <v>-0.017</v>
      </c>
      <c r="F106" s="44">
        <f t="shared" si="27"/>
        <v>-0.016333333333333335</v>
      </c>
      <c r="G106" s="44">
        <f>(F105-F106)/2</f>
        <v>0.014000000000000002</v>
      </c>
      <c r="H106" s="45">
        <v>0.014</v>
      </c>
      <c r="I106" s="43">
        <v>0.001</v>
      </c>
      <c r="J106" s="44">
        <v>-0.001</v>
      </c>
      <c r="K106" s="44">
        <v>-0.001</v>
      </c>
      <c r="L106" s="44">
        <f t="shared" si="26"/>
        <v>-0.0003333333333333333</v>
      </c>
      <c r="M106" s="44">
        <f>(L105-L106)/2</f>
        <v>-0.0013333333333333335</v>
      </c>
      <c r="N106" s="45"/>
      <c r="O106" s="43"/>
      <c r="P106" s="44"/>
      <c r="Q106" s="44"/>
      <c r="R106" s="44">
        <f>SUM(O106:Q106)/3</f>
        <v>0</v>
      </c>
      <c r="S106" s="44">
        <f>(R105-R106)/2</f>
        <v>0</v>
      </c>
      <c r="T106" s="45"/>
      <c r="U106" s="43"/>
      <c r="V106" s="44"/>
      <c r="W106" s="44"/>
      <c r="X106" s="44">
        <f>SUM(U106:W106)/3</f>
        <v>0</v>
      </c>
      <c r="Y106" s="44">
        <f>(X105-X106)/2</f>
        <v>0</v>
      </c>
      <c r="Z106" s="45"/>
      <c r="AA106" s="75"/>
      <c r="AB106" s="59"/>
    </row>
    <row r="107" spans="1:37" ht="12.75" customHeight="1">
      <c r="A107" s="15">
        <v>31</v>
      </c>
      <c r="B107" s="16">
        <v>37</v>
      </c>
      <c r="C107" s="38">
        <v>-0.02</v>
      </c>
      <c r="D107" s="39">
        <v>-0.02</v>
      </c>
      <c r="E107" s="39">
        <v>-0.02</v>
      </c>
      <c r="F107" s="39">
        <f t="shared" si="27"/>
        <v>-0.02</v>
      </c>
      <c r="G107" s="40"/>
      <c r="H107" s="41"/>
      <c r="I107" s="42">
        <v>-0.016</v>
      </c>
      <c r="J107" s="40">
        <v>-0.016</v>
      </c>
      <c r="K107" s="40">
        <v>-0.016</v>
      </c>
      <c r="L107" s="39">
        <f t="shared" si="26"/>
        <v>-0.016</v>
      </c>
      <c r="M107" s="40"/>
      <c r="N107" s="41"/>
      <c r="O107" s="42"/>
      <c r="P107" s="40"/>
      <c r="Q107" s="40"/>
      <c r="R107" s="39">
        <f aca="true" t="shared" si="28" ref="R107:R140">SUM(O107:Q107)/3</f>
        <v>0</v>
      </c>
      <c r="S107" s="40"/>
      <c r="T107" s="41"/>
      <c r="U107" s="42"/>
      <c r="V107" s="40"/>
      <c r="W107" s="40"/>
      <c r="X107" s="39">
        <f aca="true" t="shared" si="29" ref="X107:X140">SUM(U107:W107)/3</f>
        <v>0</v>
      </c>
      <c r="Y107" s="40"/>
      <c r="Z107" s="41"/>
      <c r="AA107" s="74"/>
      <c r="AB107" s="59">
        <f t="shared" si="22"/>
        <v>-0.013166666666666667</v>
      </c>
      <c r="AC107" s="55">
        <f t="shared" si="18"/>
        <v>-0.013</v>
      </c>
      <c r="AD107" s="55">
        <f t="shared" si="19"/>
        <v>-0.008333333333333333</v>
      </c>
      <c r="AE107" s="55">
        <f>IF(G108=0,999,G108)</f>
        <v>-0.013166666666666667</v>
      </c>
      <c r="AF107" s="55">
        <f>IF(M108=0,999,M108)</f>
        <v>-0.008333333333333333</v>
      </c>
      <c r="AG107" s="55">
        <f>IF(S108=0,999,S108)</f>
        <v>999</v>
      </c>
      <c r="AH107" s="55">
        <f>IF(Y108=0,999,Y108)</f>
        <v>999</v>
      </c>
      <c r="AI107" s="55">
        <f>MIN(ABS(AE107),ABS(AF107),ABS(AG107),ABS(AH107))</f>
        <v>0.008333333333333333</v>
      </c>
      <c r="AJ107" t="e">
        <f>MATCH(AI107,AE107:AH107,0)</f>
        <v>#N/A</v>
      </c>
      <c r="AK107" t="b">
        <f>ISNA(AJ107)</f>
        <v>1</v>
      </c>
    </row>
    <row r="108" spans="1:28" ht="12.75" customHeight="1">
      <c r="A108" s="17">
        <v>37</v>
      </c>
      <c r="B108" s="18">
        <v>31</v>
      </c>
      <c r="C108" s="43">
        <v>0.007</v>
      </c>
      <c r="D108" s="44">
        <v>0.006</v>
      </c>
      <c r="E108" s="44">
        <v>0.006</v>
      </c>
      <c r="F108" s="44">
        <f t="shared" si="27"/>
        <v>0.006333333333333334</v>
      </c>
      <c r="G108" s="44">
        <f>(F107-F108)/2</f>
        <v>-0.013166666666666667</v>
      </c>
      <c r="H108" s="45">
        <v>-0.013</v>
      </c>
      <c r="I108" s="43">
        <v>0.001</v>
      </c>
      <c r="J108" s="44">
        <v>0.001</v>
      </c>
      <c r="K108" s="44">
        <v>0</v>
      </c>
      <c r="L108" s="44">
        <f t="shared" si="26"/>
        <v>0.0006666666666666666</v>
      </c>
      <c r="M108" s="44">
        <f>(L107-L108)/2</f>
        <v>-0.008333333333333333</v>
      </c>
      <c r="N108" s="45"/>
      <c r="O108" s="43"/>
      <c r="P108" s="44"/>
      <c r="Q108" s="44"/>
      <c r="R108" s="44">
        <f t="shared" si="28"/>
        <v>0</v>
      </c>
      <c r="S108" s="44">
        <f>(R107-R108)/2</f>
        <v>0</v>
      </c>
      <c r="T108" s="45"/>
      <c r="U108" s="43"/>
      <c r="V108" s="44"/>
      <c r="W108" s="44"/>
      <c r="X108" s="44">
        <f t="shared" si="29"/>
        <v>0</v>
      </c>
      <c r="Y108" s="44">
        <f>(X107-X108)/2</f>
        <v>0</v>
      </c>
      <c r="Z108" s="45"/>
      <c r="AA108" s="75"/>
      <c r="AB108" s="59"/>
    </row>
    <row r="109" spans="1:37" ht="12.75" customHeight="1">
      <c r="A109" s="15">
        <v>42</v>
      </c>
      <c r="B109" s="16">
        <v>37</v>
      </c>
      <c r="C109" s="38">
        <v>0</v>
      </c>
      <c r="D109" s="39">
        <v>0</v>
      </c>
      <c r="E109" s="39">
        <v>0</v>
      </c>
      <c r="F109" s="39">
        <f t="shared" si="27"/>
        <v>0</v>
      </c>
      <c r="G109" s="40"/>
      <c r="H109" s="41"/>
      <c r="I109" s="38"/>
      <c r="J109" s="39"/>
      <c r="K109" s="39"/>
      <c r="L109" s="39">
        <f aca="true" t="shared" si="30" ref="L109:L120">SUM(I109:K109)/3</f>
        <v>0</v>
      </c>
      <c r="M109" s="40"/>
      <c r="N109" s="41"/>
      <c r="O109" s="40"/>
      <c r="P109" s="40"/>
      <c r="Q109" s="40"/>
      <c r="R109" s="39">
        <f t="shared" si="28"/>
        <v>0</v>
      </c>
      <c r="S109" s="40"/>
      <c r="T109" s="41"/>
      <c r="U109" s="42"/>
      <c r="V109" s="40"/>
      <c r="W109" s="40"/>
      <c r="X109" s="39">
        <f t="shared" si="29"/>
        <v>0</v>
      </c>
      <c r="Y109" s="40"/>
      <c r="Z109" s="41"/>
      <c r="AA109" s="74"/>
      <c r="AB109" s="59">
        <f t="shared" si="22"/>
        <v>-0.0025</v>
      </c>
      <c r="AC109" s="55">
        <f t="shared" si="18"/>
        <v>0</v>
      </c>
      <c r="AD109" s="55">
        <f t="shared" si="19"/>
        <v>-0.0025</v>
      </c>
      <c r="AE109" s="55">
        <f>IF(G110=0,999,G110)</f>
        <v>-0.0025</v>
      </c>
      <c r="AF109" s="55">
        <f>IF(M110=0,999,M110)</f>
        <v>999</v>
      </c>
      <c r="AG109" s="55">
        <f>IF(S110=0,999,S110)</f>
        <v>999</v>
      </c>
      <c r="AH109" s="55">
        <f>IF(Y110=0,999,Y110)</f>
        <v>999</v>
      </c>
      <c r="AI109" s="55">
        <f>MIN(ABS(AE109),ABS(AF109),ABS(AG109),ABS(AH109))</f>
        <v>0.0025</v>
      </c>
      <c r="AJ109" t="e">
        <f>MATCH(AI109,AE109:AH109,0)</f>
        <v>#N/A</v>
      </c>
      <c r="AK109" t="b">
        <f>ISNA(AJ109)</f>
        <v>1</v>
      </c>
    </row>
    <row r="110" spans="1:28" ht="12.75" customHeight="1">
      <c r="A110" s="17">
        <v>37</v>
      </c>
      <c r="B110" s="18">
        <v>42</v>
      </c>
      <c r="C110" s="43">
        <v>0.005</v>
      </c>
      <c r="D110" s="44">
        <v>0.005</v>
      </c>
      <c r="E110" s="44">
        <v>0.005</v>
      </c>
      <c r="F110" s="44">
        <f t="shared" si="27"/>
        <v>0.005</v>
      </c>
      <c r="G110" s="44">
        <f>(F109-F110)/2</f>
        <v>-0.0025</v>
      </c>
      <c r="H110" s="45"/>
      <c r="I110" s="43"/>
      <c r="J110" s="44"/>
      <c r="K110" s="44"/>
      <c r="L110" s="44">
        <f t="shared" si="30"/>
        <v>0</v>
      </c>
      <c r="M110" s="44">
        <f>(L109-L110)/2</f>
        <v>0</v>
      </c>
      <c r="N110" s="45"/>
      <c r="O110" s="44"/>
      <c r="P110" s="44"/>
      <c r="Q110" s="44"/>
      <c r="R110" s="44">
        <f t="shared" si="28"/>
        <v>0</v>
      </c>
      <c r="S110" s="44">
        <f>(R109-R110)/2</f>
        <v>0</v>
      </c>
      <c r="T110" s="45"/>
      <c r="U110" s="43"/>
      <c r="V110" s="44"/>
      <c r="W110" s="44"/>
      <c r="X110" s="44">
        <f t="shared" si="29"/>
        <v>0</v>
      </c>
      <c r="Y110" s="44">
        <f>(X109-X110)/2</f>
        <v>0</v>
      </c>
      <c r="Z110" s="45"/>
      <c r="AA110" s="75"/>
      <c r="AB110" s="59"/>
    </row>
    <row r="111" spans="1:37" ht="12.75" customHeight="1">
      <c r="A111" s="15">
        <v>36</v>
      </c>
      <c r="B111" s="16">
        <v>31</v>
      </c>
      <c r="C111" s="38">
        <v>0.001</v>
      </c>
      <c r="D111" s="39">
        <v>0.001</v>
      </c>
      <c r="E111" s="39">
        <v>0.001</v>
      </c>
      <c r="F111" s="39">
        <f t="shared" si="27"/>
        <v>0.001</v>
      </c>
      <c r="G111" s="40"/>
      <c r="H111" s="41"/>
      <c r="I111" s="38"/>
      <c r="J111" s="39"/>
      <c r="K111" s="39"/>
      <c r="L111" s="39">
        <f t="shared" si="30"/>
        <v>0</v>
      </c>
      <c r="M111" s="40"/>
      <c r="N111" s="41"/>
      <c r="O111" s="42"/>
      <c r="P111" s="40"/>
      <c r="Q111" s="40"/>
      <c r="R111" s="39">
        <f t="shared" si="28"/>
        <v>0</v>
      </c>
      <c r="S111" s="40"/>
      <c r="T111" s="41"/>
      <c r="U111" s="42"/>
      <c r="V111" s="40"/>
      <c r="W111" s="40"/>
      <c r="X111" s="39">
        <f t="shared" si="29"/>
        <v>0</v>
      </c>
      <c r="Y111" s="40"/>
      <c r="Z111" s="41"/>
      <c r="AA111" s="74"/>
      <c r="AB111" s="59">
        <f t="shared" si="22"/>
        <v>0.0005</v>
      </c>
      <c r="AC111" s="55">
        <f t="shared" si="18"/>
        <v>0</v>
      </c>
      <c r="AD111" s="55">
        <f t="shared" si="19"/>
        <v>0.0005</v>
      </c>
      <c r="AE111" s="55">
        <f>IF(G112=0,999,G112)</f>
        <v>0.0005</v>
      </c>
      <c r="AF111" s="55">
        <f>IF(M112=0,999,M112)</f>
        <v>999</v>
      </c>
      <c r="AG111" s="55">
        <f>IF(S112=0,999,S112)</f>
        <v>999</v>
      </c>
      <c r="AH111" s="55">
        <f>IF(Y112=0,999,Y112)</f>
        <v>999</v>
      </c>
      <c r="AI111" s="55">
        <f>MIN(ABS(AE111),ABS(AF111),ABS(AG111),ABS(AH111))</f>
        <v>0.0005</v>
      </c>
      <c r="AJ111">
        <f>MATCH(AI111,AE111:AH111,0)</f>
        <v>1</v>
      </c>
      <c r="AK111" t="b">
        <f>ISNA(AJ111)</f>
        <v>0</v>
      </c>
    </row>
    <row r="112" spans="1:28" ht="12.75" customHeight="1">
      <c r="A112" s="17">
        <v>31</v>
      </c>
      <c r="B112" s="18">
        <v>36</v>
      </c>
      <c r="C112" s="43">
        <v>0</v>
      </c>
      <c r="D112" s="44">
        <v>0</v>
      </c>
      <c r="E112" s="44">
        <v>0</v>
      </c>
      <c r="F112" s="44">
        <f t="shared" si="27"/>
        <v>0</v>
      </c>
      <c r="G112" s="44">
        <f>(F111-F112)/2</f>
        <v>0.0005</v>
      </c>
      <c r="H112" s="45"/>
      <c r="I112" s="43"/>
      <c r="J112" s="44"/>
      <c r="K112" s="44"/>
      <c r="L112" s="44">
        <f t="shared" si="30"/>
        <v>0</v>
      </c>
      <c r="M112" s="44">
        <f>(L111-L112)/2</f>
        <v>0</v>
      </c>
      <c r="N112" s="45"/>
      <c r="O112" s="43"/>
      <c r="P112" s="44"/>
      <c r="Q112" s="44"/>
      <c r="R112" s="44">
        <f t="shared" si="28"/>
        <v>0</v>
      </c>
      <c r="S112" s="44">
        <f>(R111-R112)/2</f>
        <v>0</v>
      </c>
      <c r="T112" s="45"/>
      <c r="U112" s="43"/>
      <c r="V112" s="44"/>
      <c r="W112" s="44"/>
      <c r="X112" s="44">
        <f t="shared" si="29"/>
        <v>0</v>
      </c>
      <c r="Y112" s="44">
        <f>(X111-X112)/2</f>
        <v>0</v>
      </c>
      <c r="Z112" s="45"/>
      <c r="AA112" s="75"/>
      <c r="AB112" s="59"/>
    </row>
    <row r="113" spans="1:37" ht="12.75" customHeight="1">
      <c r="A113" s="15">
        <v>25</v>
      </c>
      <c r="B113" s="16">
        <v>31</v>
      </c>
      <c r="C113" s="38">
        <v>0</v>
      </c>
      <c r="D113" s="39">
        <v>0</v>
      </c>
      <c r="E113" s="39">
        <v>0</v>
      </c>
      <c r="F113" s="39">
        <f t="shared" si="27"/>
        <v>0</v>
      </c>
      <c r="G113" s="40"/>
      <c r="H113" s="41"/>
      <c r="I113" s="38"/>
      <c r="J113" s="39"/>
      <c r="K113" s="39"/>
      <c r="L113" s="39">
        <f t="shared" si="30"/>
        <v>0</v>
      </c>
      <c r="M113" s="40"/>
      <c r="N113" s="41"/>
      <c r="O113" s="42"/>
      <c r="P113" s="40"/>
      <c r="Q113" s="40"/>
      <c r="R113" s="39">
        <f t="shared" si="28"/>
        <v>0</v>
      </c>
      <c r="S113" s="40"/>
      <c r="T113" s="41"/>
      <c r="U113" s="42"/>
      <c r="V113" s="40"/>
      <c r="W113" s="40"/>
      <c r="X113" s="39">
        <f t="shared" si="29"/>
        <v>0</v>
      </c>
      <c r="Y113" s="40"/>
      <c r="Z113" s="41"/>
      <c r="AA113" s="74"/>
      <c r="AB113" s="59">
        <f t="shared" si="22"/>
        <v>-0.0005</v>
      </c>
      <c r="AC113" s="55">
        <f t="shared" si="18"/>
        <v>0</v>
      </c>
      <c r="AD113" s="55">
        <f t="shared" si="19"/>
        <v>-0.0005</v>
      </c>
      <c r="AE113" s="55">
        <f>IF(G114=0,999,G114)</f>
        <v>-0.0005</v>
      </c>
      <c r="AF113" s="55">
        <f>IF(M114=0,999,M114)</f>
        <v>999</v>
      </c>
      <c r="AG113" s="55">
        <f>IF(S114=0,999,S114)</f>
        <v>999</v>
      </c>
      <c r="AH113" s="55">
        <f>IF(Y114=0,999,Y114)</f>
        <v>999</v>
      </c>
      <c r="AI113" s="55">
        <f>MIN(ABS(AE113),ABS(AF113),ABS(AG113),ABS(AH113))</f>
        <v>0.0005</v>
      </c>
      <c r="AJ113" t="e">
        <f>MATCH(AI113,AE113:AH113,0)</f>
        <v>#N/A</v>
      </c>
      <c r="AK113" t="b">
        <f>ISNA(AJ113)</f>
        <v>1</v>
      </c>
    </row>
    <row r="114" spans="1:28" ht="12.75" customHeight="1">
      <c r="A114" s="17">
        <v>31</v>
      </c>
      <c r="B114" s="18">
        <v>25</v>
      </c>
      <c r="C114" s="43">
        <v>0.002</v>
      </c>
      <c r="D114" s="44">
        <v>0.001</v>
      </c>
      <c r="E114" s="44">
        <v>0</v>
      </c>
      <c r="F114" s="44">
        <f t="shared" si="27"/>
        <v>0.001</v>
      </c>
      <c r="G114" s="44">
        <f>(F113-F114)/2</f>
        <v>-0.0005</v>
      </c>
      <c r="H114" s="45"/>
      <c r="I114" s="43"/>
      <c r="J114" s="44"/>
      <c r="K114" s="44"/>
      <c r="L114" s="44">
        <f t="shared" si="30"/>
        <v>0</v>
      </c>
      <c r="M114" s="44">
        <f>(L113-L114)/2</f>
        <v>0</v>
      </c>
      <c r="N114" s="45"/>
      <c r="O114" s="43"/>
      <c r="P114" s="44"/>
      <c r="Q114" s="44"/>
      <c r="R114" s="44">
        <f t="shared" si="28"/>
        <v>0</v>
      </c>
      <c r="S114" s="44">
        <f>(R113-R114)/2</f>
        <v>0</v>
      </c>
      <c r="T114" s="45"/>
      <c r="U114" s="43"/>
      <c r="V114" s="44"/>
      <c r="W114" s="44"/>
      <c r="X114" s="44">
        <f t="shared" si="29"/>
        <v>0</v>
      </c>
      <c r="Y114" s="44">
        <f>(X113-X114)/2</f>
        <v>0</v>
      </c>
      <c r="Z114" s="45"/>
      <c r="AA114" s="75"/>
      <c r="AB114" s="59"/>
    </row>
    <row r="115" spans="1:37" ht="12.75" customHeight="1">
      <c r="A115" s="15">
        <v>30</v>
      </c>
      <c r="B115" s="16">
        <v>25</v>
      </c>
      <c r="C115" s="38">
        <v>0.007</v>
      </c>
      <c r="D115" s="39">
        <v>0.007</v>
      </c>
      <c r="E115" s="39">
        <v>0.007</v>
      </c>
      <c r="F115" s="39">
        <f t="shared" si="27"/>
        <v>0.007</v>
      </c>
      <c r="G115" s="40"/>
      <c r="H115" s="41"/>
      <c r="I115" s="38">
        <v>0.003</v>
      </c>
      <c r="J115" s="39">
        <v>0.003</v>
      </c>
      <c r="K115" s="39">
        <v>0.003</v>
      </c>
      <c r="L115" s="39">
        <f t="shared" si="30"/>
        <v>0.0030000000000000005</v>
      </c>
      <c r="M115" s="40"/>
      <c r="N115" s="41"/>
      <c r="O115" s="42"/>
      <c r="P115" s="40"/>
      <c r="Q115" s="40"/>
      <c r="R115" s="39">
        <f t="shared" si="28"/>
        <v>0</v>
      </c>
      <c r="S115" s="40"/>
      <c r="T115" s="41"/>
      <c r="U115" s="42"/>
      <c r="V115" s="40"/>
      <c r="W115" s="40"/>
      <c r="X115" s="39">
        <f t="shared" si="29"/>
        <v>0</v>
      </c>
      <c r="Y115" s="40"/>
      <c r="Z115" s="41"/>
      <c r="AA115" s="74"/>
      <c r="AB115" s="59">
        <f t="shared" si="22"/>
        <v>0.009500000000000001</v>
      </c>
      <c r="AC115" s="55">
        <f t="shared" si="18"/>
        <v>0.01</v>
      </c>
      <c r="AD115" s="55">
        <f t="shared" si="19"/>
        <v>0.001666666666666667</v>
      </c>
      <c r="AE115" s="55">
        <f>IF(G116=0,999,G116)</f>
        <v>0.009500000000000001</v>
      </c>
      <c r="AF115" s="55">
        <f>IF(M116=0,999,M116)</f>
        <v>0.001666666666666667</v>
      </c>
      <c r="AG115" s="55">
        <f>IF(S116=0,999,S116)</f>
        <v>999</v>
      </c>
      <c r="AH115" s="55">
        <f>IF(Y116=0,999,Y116)</f>
        <v>999</v>
      </c>
      <c r="AI115" s="55">
        <f>MIN(ABS(AE115),ABS(AF115),ABS(AG115),ABS(AH115))</f>
        <v>0.001666666666666667</v>
      </c>
      <c r="AJ115">
        <f>MATCH(AI115,AE115:AH115,0)</f>
        <v>2</v>
      </c>
      <c r="AK115" t="b">
        <f>ISNA(AJ115)</f>
        <v>0</v>
      </c>
    </row>
    <row r="116" spans="1:28" ht="12.75" customHeight="1">
      <c r="A116" s="17">
        <v>25</v>
      </c>
      <c r="B116" s="18">
        <v>30</v>
      </c>
      <c r="C116" s="43">
        <v>-0.012</v>
      </c>
      <c r="D116" s="44">
        <v>-0.012</v>
      </c>
      <c r="E116" s="44">
        <v>-0.012</v>
      </c>
      <c r="F116" s="44">
        <f t="shared" si="27"/>
        <v>-0.012000000000000002</v>
      </c>
      <c r="G116" s="44">
        <f>(F115-F116)/2</f>
        <v>0.009500000000000001</v>
      </c>
      <c r="H116" s="45">
        <v>0.01</v>
      </c>
      <c r="I116" s="43">
        <v>0</v>
      </c>
      <c r="J116" s="44">
        <v>0</v>
      </c>
      <c r="K116" s="44">
        <v>-0.001</v>
      </c>
      <c r="L116" s="44">
        <f t="shared" si="30"/>
        <v>-0.0003333333333333333</v>
      </c>
      <c r="M116" s="44">
        <f>(L115-L116)/2</f>
        <v>0.001666666666666667</v>
      </c>
      <c r="N116" s="45"/>
      <c r="O116" s="43"/>
      <c r="P116" s="44"/>
      <c r="Q116" s="44"/>
      <c r="R116" s="44">
        <f t="shared" si="28"/>
        <v>0</v>
      </c>
      <c r="S116" s="44">
        <f>(R115-R116)/2</f>
        <v>0</v>
      </c>
      <c r="T116" s="45"/>
      <c r="U116" s="43"/>
      <c r="V116" s="44"/>
      <c r="W116" s="44"/>
      <c r="X116" s="44">
        <f t="shared" si="29"/>
        <v>0</v>
      </c>
      <c r="Y116" s="44">
        <f>(X115-X116)/2</f>
        <v>0</v>
      </c>
      <c r="Z116" s="45"/>
      <c r="AA116" s="75"/>
      <c r="AB116" s="59"/>
    </row>
    <row r="117" spans="1:37" ht="12.75" customHeight="1">
      <c r="A117" s="15">
        <v>19</v>
      </c>
      <c r="B117" s="16">
        <v>25</v>
      </c>
      <c r="C117" s="38">
        <v>0.016</v>
      </c>
      <c r="D117" s="39">
        <v>0.016</v>
      </c>
      <c r="E117" s="39">
        <v>0.016</v>
      </c>
      <c r="F117" s="39">
        <f t="shared" si="27"/>
        <v>0.016</v>
      </c>
      <c r="G117" s="40"/>
      <c r="H117" s="41"/>
      <c r="I117" s="38">
        <v>0.002</v>
      </c>
      <c r="J117" s="39">
        <v>0.002</v>
      </c>
      <c r="K117" s="39">
        <v>0.002</v>
      </c>
      <c r="L117" s="39">
        <f t="shared" si="30"/>
        <v>0.002</v>
      </c>
      <c r="M117" s="40"/>
      <c r="N117" s="41"/>
      <c r="O117" s="42"/>
      <c r="P117" s="40"/>
      <c r="Q117" s="40"/>
      <c r="R117" s="39">
        <f t="shared" si="28"/>
        <v>0</v>
      </c>
      <c r="S117" s="40"/>
      <c r="T117" s="41"/>
      <c r="U117" s="42"/>
      <c r="V117" s="40"/>
      <c r="W117" s="40"/>
      <c r="X117" s="39">
        <f t="shared" si="29"/>
        <v>0</v>
      </c>
      <c r="Y117" s="40"/>
      <c r="Z117" s="41"/>
      <c r="AA117" s="74"/>
      <c r="AB117" s="59">
        <f t="shared" si="22"/>
        <v>0.013500000000000002</v>
      </c>
      <c r="AC117" s="55">
        <f t="shared" si="18"/>
        <v>0.014</v>
      </c>
      <c r="AD117" s="55">
        <f t="shared" si="19"/>
        <v>0.0008333333333333334</v>
      </c>
      <c r="AE117" s="55">
        <f>IF(G118=0,999,G118)</f>
        <v>0.013500000000000002</v>
      </c>
      <c r="AF117" s="55">
        <f>IF(M118=0,999,M118)</f>
        <v>0.0008333333333333334</v>
      </c>
      <c r="AG117" s="55">
        <f>IF(S118=0,999,S118)</f>
        <v>999</v>
      </c>
      <c r="AH117" s="55">
        <f>IF(Y118=0,999,Y118)</f>
        <v>999</v>
      </c>
      <c r="AI117" s="55">
        <f>MIN(ABS(AE117),ABS(AF117),ABS(AG117),ABS(AH117))</f>
        <v>0.0008333333333333334</v>
      </c>
      <c r="AJ117">
        <f>MATCH(AI117,AE117:AH117,0)</f>
        <v>2</v>
      </c>
      <c r="AK117" t="b">
        <f>ISNA(AJ117)</f>
        <v>0</v>
      </c>
    </row>
    <row r="118" spans="1:28" ht="12.75" customHeight="1">
      <c r="A118" s="17">
        <v>25</v>
      </c>
      <c r="B118" s="18">
        <v>19</v>
      </c>
      <c r="C118" s="43">
        <v>-0.011</v>
      </c>
      <c r="D118" s="44">
        <v>-0.011</v>
      </c>
      <c r="E118" s="44">
        <v>-0.011</v>
      </c>
      <c r="F118" s="44">
        <f t="shared" si="27"/>
        <v>-0.011000000000000001</v>
      </c>
      <c r="G118" s="44">
        <f>(F117-F118)/2</f>
        <v>0.013500000000000002</v>
      </c>
      <c r="H118" s="45">
        <v>0.014</v>
      </c>
      <c r="I118" s="43">
        <v>0.001</v>
      </c>
      <c r="J118" s="44">
        <v>0</v>
      </c>
      <c r="K118" s="44">
        <v>0</v>
      </c>
      <c r="L118" s="44">
        <f t="shared" si="30"/>
        <v>0.0003333333333333333</v>
      </c>
      <c r="M118" s="44">
        <f>(L117-L118)/2</f>
        <v>0.0008333333333333334</v>
      </c>
      <c r="N118" s="45"/>
      <c r="O118" s="43"/>
      <c r="P118" s="44"/>
      <c r="Q118" s="44"/>
      <c r="R118" s="44">
        <f t="shared" si="28"/>
        <v>0</v>
      </c>
      <c r="S118" s="44">
        <f>(R117-R118)/2</f>
        <v>0</v>
      </c>
      <c r="T118" s="45"/>
      <c r="U118" s="43"/>
      <c r="V118" s="44"/>
      <c r="W118" s="44"/>
      <c r="X118" s="44">
        <f t="shared" si="29"/>
        <v>0</v>
      </c>
      <c r="Y118" s="44">
        <f>(X117-X118)/2</f>
        <v>0</v>
      </c>
      <c r="Z118" s="45"/>
      <c r="AA118" s="75"/>
      <c r="AB118" s="59"/>
    </row>
    <row r="119" spans="1:37" ht="12.75" customHeight="1">
      <c r="A119" s="15">
        <v>88</v>
      </c>
      <c r="B119" s="16">
        <v>19</v>
      </c>
      <c r="C119" s="38">
        <v>0.015</v>
      </c>
      <c r="D119" s="39">
        <v>0.015</v>
      </c>
      <c r="E119" s="39">
        <v>0.015</v>
      </c>
      <c r="F119" s="39">
        <f t="shared" si="27"/>
        <v>0.015</v>
      </c>
      <c r="G119" s="40"/>
      <c r="H119" s="41"/>
      <c r="I119" s="42">
        <v>0</v>
      </c>
      <c r="J119" s="40">
        <v>0</v>
      </c>
      <c r="K119" s="40">
        <v>0</v>
      </c>
      <c r="L119" s="39">
        <f t="shared" si="30"/>
        <v>0</v>
      </c>
      <c r="M119" s="40"/>
      <c r="N119" s="41"/>
      <c r="O119" s="42"/>
      <c r="P119" s="40"/>
      <c r="Q119" s="40"/>
      <c r="R119" s="39">
        <f t="shared" si="28"/>
        <v>0</v>
      </c>
      <c r="S119" s="40"/>
      <c r="T119" s="41"/>
      <c r="U119" s="42"/>
      <c r="V119" s="40"/>
      <c r="W119" s="40"/>
      <c r="X119" s="39">
        <f t="shared" si="29"/>
        <v>0</v>
      </c>
      <c r="Y119" s="40"/>
      <c r="Z119" s="41"/>
      <c r="AA119" s="74"/>
      <c r="AB119" s="59">
        <f t="shared" si="22"/>
        <v>0.017</v>
      </c>
      <c r="AC119" s="55">
        <f t="shared" si="18"/>
        <v>0.017</v>
      </c>
      <c r="AD119" s="55">
        <f t="shared" si="19"/>
        <v>0.00016666666666666666</v>
      </c>
      <c r="AE119" s="55">
        <f>IF(G120=0,999,G120)</f>
        <v>0.017</v>
      </c>
      <c r="AF119" s="55">
        <f>IF(M120=0,999,M120)</f>
        <v>0.00016666666666666666</v>
      </c>
      <c r="AG119" s="55">
        <f>IF(S120=0,999,S120)</f>
        <v>999</v>
      </c>
      <c r="AH119" s="55">
        <f>IF(Y120=0,999,Y120)</f>
        <v>999</v>
      </c>
      <c r="AI119" s="55">
        <f>MIN(ABS(AE119),ABS(AF119),ABS(AG119),ABS(AH119))</f>
        <v>0.00016666666666666666</v>
      </c>
      <c r="AJ119">
        <f>MATCH(AI119,AE119:AH119,0)</f>
        <v>2</v>
      </c>
      <c r="AK119" t="b">
        <f>ISNA(AJ119)</f>
        <v>0</v>
      </c>
    </row>
    <row r="120" spans="1:28" ht="12.75" customHeight="1">
      <c r="A120" s="17">
        <v>19</v>
      </c>
      <c r="B120" s="18">
        <v>88</v>
      </c>
      <c r="C120" s="43">
        <v>-0.019</v>
      </c>
      <c r="D120" s="44">
        <v>-0.019</v>
      </c>
      <c r="E120" s="44">
        <v>-0.019</v>
      </c>
      <c r="F120" s="44">
        <f t="shared" si="27"/>
        <v>-0.019</v>
      </c>
      <c r="G120" s="44">
        <f>(F119-F120)/2</f>
        <v>0.017</v>
      </c>
      <c r="H120" s="45">
        <v>0.017</v>
      </c>
      <c r="I120" s="43">
        <v>0</v>
      </c>
      <c r="J120" s="44">
        <v>0</v>
      </c>
      <c r="K120" s="44">
        <v>-0.001</v>
      </c>
      <c r="L120" s="44">
        <f t="shared" si="30"/>
        <v>-0.0003333333333333333</v>
      </c>
      <c r="M120" s="44">
        <f>(L119-L120)/2</f>
        <v>0.00016666666666666666</v>
      </c>
      <c r="N120" s="45"/>
      <c r="O120" s="43"/>
      <c r="P120" s="44"/>
      <c r="Q120" s="44"/>
      <c r="R120" s="44">
        <f t="shared" si="28"/>
        <v>0</v>
      </c>
      <c r="S120" s="44">
        <f>(R119-R120)/2</f>
        <v>0</v>
      </c>
      <c r="T120" s="45"/>
      <c r="U120" s="43"/>
      <c r="V120" s="44"/>
      <c r="W120" s="44"/>
      <c r="X120" s="44">
        <f t="shared" si="29"/>
        <v>0</v>
      </c>
      <c r="Y120" s="44">
        <f>(X119-X120)/2</f>
        <v>0</v>
      </c>
      <c r="Z120" s="45"/>
      <c r="AA120" s="75"/>
      <c r="AB120" s="59"/>
    </row>
    <row r="121" spans="1:37" ht="12.75" customHeight="1">
      <c r="A121" s="15">
        <v>24</v>
      </c>
      <c r="B121" s="16">
        <v>19</v>
      </c>
      <c r="C121" s="38">
        <v>0.024</v>
      </c>
      <c r="D121" s="39">
        <v>0.024</v>
      </c>
      <c r="E121" s="39">
        <v>0.022</v>
      </c>
      <c r="F121" s="39">
        <f t="shared" si="27"/>
        <v>0.023333333333333334</v>
      </c>
      <c r="G121" s="40"/>
      <c r="H121" s="41"/>
      <c r="I121" s="38">
        <v>-0.015</v>
      </c>
      <c r="J121" s="39">
        <v>-0.016</v>
      </c>
      <c r="K121" s="39">
        <v>-0.017</v>
      </c>
      <c r="L121" s="39">
        <f aca="true" t="shared" si="31" ref="L121:L140">SUM(I121:K121)/3</f>
        <v>-0.016</v>
      </c>
      <c r="M121" s="40"/>
      <c r="N121" s="41"/>
      <c r="O121" s="42"/>
      <c r="P121" s="40"/>
      <c r="Q121" s="40"/>
      <c r="R121" s="39">
        <f t="shared" si="28"/>
        <v>0</v>
      </c>
      <c r="S121" s="40"/>
      <c r="T121" s="41"/>
      <c r="U121" s="42"/>
      <c r="V121" s="40"/>
      <c r="W121" s="40"/>
      <c r="X121" s="39">
        <f t="shared" si="29"/>
        <v>0</v>
      </c>
      <c r="Y121" s="40"/>
      <c r="Z121" s="41"/>
      <c r="AA121" s="74"/>
      <c r="AB121" s="59">
        <f t="shared" si="22"/>
        <v>0.022166666666666668</v>
      </c>
      <c r="AC121" s="55">
        <f t="shared" si="18"/>
        <v>0.022</v>
      </c>
      <c r="AD121" s="55">
        <f t="shared" si="19"/>
        <v>0.0014999999999999996</v>
      </c>
      <c r="AE121" s="55">
        <f>IF(G122=0,999,G122)</f>
        <v>0.022166666666666668</v>
      </c>
      <c r="AF121" s="55">
        <f>IF(M122=0,999,M122)</f>
        <v>0.0014999999999999996</v>
      </c>
      <c r="AG121" s="55">
        <f>IF(S122=0,999,S122)</f>
        <v>999</v>
      </c>
      <c r="AH121" s="55">
        <f>IF(Y122=0,999,Y122)</f>
        <v>999</v>
      </c>
      <c r="AI121" s="55">
        <f>MIN(ABS(AE121),ABS(AF121),ABS(AG121),ABS(AH121))</f>
        <v>0.0014999999999999996</v>
      </c>
      <c r="AJ121">
        <f>MATCH(AI121,AE121:AH121,0)</f>
        <v>2</v>
      </c>
      <c r="AK121" t="b">
        <f>ISNA(AJ121)</f>
        <v>0</v>
      </c>
    </row>
    <row r="122" spans="1:28" ht="12.75" customHeight="1">
      <c r="A122" s="17">
        <v>19</v>
      </c>
      <c r="B122" s="18">
        <v>24</v>
      </c>
      <c r="C122" s="43">
        <v>-0.021</v>
      </c>
      <c r="D122" s="44">
        <v>-0.021</v>
      </c>
      <c r="E122" s="44">
        <v>-0.021</v>
      </c>
      <c r="F122" s="44">
        <f t="shared" si="27"/>
        <v>-0.021</v>
      </c>
      <c r="G122" s="44">
        <f>(F121-F122)/2</f>
        <v>0.022166666666666668</v>
      </c>
      <c r="H122" s="45">
        <v>0.022</v>
      </c>
      <c r="I122" s="43">
        <v>-0.019</v>
      </c>
      <c r="J122" s="44">
        <v>-0.019</v>
      </c>
      <c r="K122" s="44">
        <v>-0.019</v>
      </c>
      <c r="L122" s="44">
        <f t="shared" si="31"/>
        <v>-0.019</v>
      </c>
      <c r="M122" s="44">
        <f>(L121-L122)/2</f>
        <v>0.0014999999999999996</v>
      </c>
      <c r="N122" s="45"/>
      <c r="O122" s="43"/>
      <c r="P122" s="44"/>
      <c r="Q122" s="44"/>
      <c r="R122" s="44">
        <f t="shared" si="28"/>
        <v>0</v>
      </c>
      <c r="S122" s="44">
        <f>(R121-R122)/2</f>
        <v>0</v>
      </c>
      <c r="T122" s="45"/>
      <c r="U122" s="43"/>
      <c r="V122" s="44"/>
      <c r="W122" s="44"/>
      <c r="X122" s="44">
        <f t="shared" si="29"/>
        <v>0</v>
      </c>
      <c r="Y122" s="44">
        <f>(X121-X122)/2</f>
        <v>0</v>
      </c>
      <c r="Z122" s="45"/>
      <c r="AA122" s="75"/>
      <c r="AB122" s="59"/>
    </row>
    <row r="123" spans="1:37" ht="12.75" customHeight="1">
      <c r="A123" s="15">
        <v>35</v>
      </c>
      <c r="B123" s="16">
        <v>30</v>
      </c>
      <c r="C123" s="38">
        <v>0.008</v>
      </c>
      <c r="D123" s="39">
        <v>0.008</v>
      </c>
      <c r="E123" s="39">
        <v>0.008</v>
      </c>
      <c r="F123" s="39">
        <f t="shared" si="27"/>
        <v>0.008</v>
      </c>
      <c r="G123" s="40"/>
      <c r="H123" s="41"/>
      <c r="I123" s="38"/>
      <c r="J123" s="39"/>
      <c r="K123" s="39"/>
      <c r="L123" s="39">
        <f t="shared" si="31"/>
        <v>0</v>
      </c>
      <c r="M123" s="40"/>
      <c r="N123" s="41"/>
      <c r="O123" s="42"/>
      <c r="P123" s="40"/>
      <c r="Q123" s="40"/>
      <c r="R123" s="39">
        <f t="shared" si="28"/>
        <v>0</v>
      </c>
      <c r="S123" s="40"/>
      <c r="T123" s="41"/>
      <c r="U123" s="42"/>
      <c r="V123" s="40"/>
      <c r="W123" s="40"/>
      <c r="X123" s="39">
        <f t="shared" si="29"/>
        <v>0</v>
      </c>
      <c r="Y123" s="40"/>
      <c r="Z123" s="41"/>
      <c r="AA123" s="74"/>
      <c r="AB123" s="59">
        <f t="shared" si="22"/>
        <v>0.007000000000000001</v>
      </c>
      <c r="AC123" s="55">
        <f t="shared" si="18"/>
        <v>0</v>
      </c>
      <c r="AD123" s="55">
        <f t="shared" si="19"/>
        <v>0.007000000000000001</v>
      </c>
      <c r="AE123" s="55">
        <f>IF(G124=0,999,G124)</f>
        <v>0.007000000000000001</v>
      </c>
      <c r="AF123" s="55">
        <f>IF(M124=0,999,M124)</f>
        <v>999</v>
      </c>
      <c r="AG123" s="55">
        <f>IF(S124=0,999,S124)</f>
        <v>999</v>
      </c>
      <c r="AH123" s="55">
        <f>IF(Y124=0,999,Y124)</f>
        <v>999</v>
      </c>
      <c r="AI123" s="55">
        <f>MIN(ABS(AE123),ABS(AF123),ABS(AG123),ABS(AH123))</f>
        <v>0.007000000000000001</v>
      </c>
      <c r="AJ123">
        <f>MATCH(AI123,AE123:AH123,0)</f>
        <v>1</v>
      </c>
      <c r="AK123" t="b">
        <f>ISNA(AJ123)</f>
        <v>0</v>
      </c>
    </row>
    <row r="124" spans="1:28" ht="12.75" customHeight="1">
      <c r="A124" s="17">
        <v>30</v>
      </c>
      <c r="B124" s="18">
        <v>35</v>
      </c>
      <c r="C124" s="43">
        <v>-0.006</v>
      </c>
      <c r="D124" s="44">
        <v>-0.006</v>
      </c>
      <c r="E124" s="44">
        <v>-0.006</v>
      </c>
      <c r="F124" s="44">
        <f t="shared" si="27"/>
        <v>-0.006000000000000001</v>
      </c>
      <c r="G124" s="44">
        <f>(F123-F124)/2</f>
        <v>0.007000000000000001</v>
      </c>
      <c r="H124" s="45"/>
      <c r="I124" s="43"/>
      <c r="J124" s="44"/>
      <c r="K124" s="44"/>
      <c r="L124" s="44">
        <f t="shared" si="31"/>
        <v>0</v>
      </c>
      <c r="M124" s="44">
        <f>(L123-L124)/2</f>
        <v>0</v>
      </c>
      <c r="N124" s="45"/>
      <c r="O124" s="43"/>
      <c r="P124" s="44"/>
      <c r="Q124" s="44"/>
      <c r="R124" s="44">
        <f t="shared" si="28"/>
        <v>0</v>
      </c>
      <c r="S124" s="44">
        <f>(R123-R124)/2</f>
        <v>0</v>
      </c>
      <c r="T124" s="45"/>
      <c r="U124" s="43"/>
      <c r="V124" s="44"/>
      <c r="W124" s="44"/>
      <c r="X124" s="44">
        <f t="shared" si="29"/>
        <v>0</v>
      </c>
      <c r="Y124" s="44">
        <f>(X123-X124)/2</f>
        <v>0</v>
      </c>
      <c r="Z124" s="45"/>
      <c r="AA124" s="75"/>
      <c r="AB124" s="59"/>
    </row>
    <row r="125" spans="1:37" ht="12.75" customHeight="1">
      <c r="A125" s="15">
        <v>41</v>
      </c>
      <c r="B125" s="16">
        <v>36</v>
      </c>
      <c r="C125" s="38">
        <v>0.003</v>
      </c>
      <c r="D125" s="39">
        <v>0.002</v>
      </c>
      <c r="E125" s="39">
        <v>0.002</v>
      </c>
      <c r="F125" s="39">
        <f t="shared" si="27"/>
        <v>0.0023333333333333335</v>
      </c>
      <c r="G125" s="40"/>
      <c r="H125" s="41"/>
      <c r="I125" s="38"/>
      <c r="J125" s="39"/>
      <c r="K125" s="39"/>
      <c r="L125" s="39">
        <f t="shared" si="31"/>
        <v>0</v>
      </c>
      <c r="M125" s="40"/>
      <c r="N125" s="41"/>
      <c r="O125" s="42"/>
      <c r="P125" s="40"/>
      <c r="Q125" s="40"/>
      <c r="R125" s="39">
        <f t="shared" si="28"/>
        <v>0</v>
      </c>
      <c r="S125" s="40"/>
      <c r="T125" s="41"/>
      <c r="U125" s="42"/>
      <c r="V125" s="40"/>
      <c r="W125" s="40"/>
      <c r="X125" s="39">
        <f t="shared" si="29"/>
        <v>0</v>
      </c>
      <c r="Y125" s="40"/>
      <c r="Z125" s="41"/>
      <c r="AA125" s="74"/>
      <c r="AB125" s="59">
        <f t="shared" si="22"/>
        <v>0.003666666666666667</v>
      </c>
      <c r="AC125" s="55">
        <f t="shared" si="18"/>
        <v>0</v>
      </c>
      <c r="AD125" s="55">
        <f t="shared" si="19"/>
        <v>0.003666666666666667</v>
      </c>
      <c r="AE125" s="55">
        <f>IF(G126=0,999,G126)</f>
        <v>0.003666666666666667</v>
      </c>
      <c r="AF125" s="55">
        <f>IF(M126=0,999,M126)</f>
        <v>999</v>
      </c>
      <c r="AG125" s="55">
        <f>IF(S126=0,999,S126)</f>
        <v>999</v>
      </c>
      <c r="AH125" s="55">
        <f>IF(Y126=0,999,Y126)</f>
        <v>999</v>
      </c>
      <c r="AI125" s="55">
        <f>MIN(ABS(AE125),ABS(AF125),ABS(AG125),ABS(AH125))</f>
        <v>0.003666666666666667</v>
      </c>
      <c r="AJ125">
        <f>MATCH(AI125,AE125:AH125,0)</f>
        <v>1</v>
      </c>
      <c r="AK125" t="b">
        <f>ISNA(AJ125)</f>
        <v>0</v>
      </c>
    </row>
    <row r="126" spans="1:28" ht="12.75" customHeight="1">
      <c r="A126" s="17">
        <v>36</v>
      </c>
      <c r="B126" s="18">
        <v>41</v>
      </c>
      <c r="C126" s="43">
        <v>-0.005</v>
      </c>
      <c r="D126" s="44">
        <v>-0.005</v>
      </c>
      <c r="E126" s="44">
        <v>-0.005</v>
      </c>
      <c r="F126" s="44">
        <f t="shared" si="27"/>
        <v>-0.005</v>
      </c>
      <c r="G126" s="44">
        <f>(F125-F126)/2</f>
        <v>0.003666666666666667</v>
      </c>
      <c r="H126" s="45"/>
      <c r="I126" s="43"/>
      <c r="J126" s="44"/>
      <c r="K126" s="44"/>
      <c r="L126" s="44">
        <f t="shared" si="31"/>
        <v>0</v>
      </c>
      <c r="M126" s="44">
        <f>(L125-L126)/2</f>
        <v>0</v>
      </c>
      <c r="N126" s="45"/>
      <c r="O126" s="43"/>
      <c r="P126" s="44"/>
      <c r="Q126" s="44"/>
      <c r="R126" s="44">
        <f t="shared" si="28"/>
        <v>0</v>
      </c>
      <c r="S126" s="44">
        <f>(R125-R126)/2</f>
        <v>0</v>
      </c>
      <c r="T126" s="45"/>
      <c r="U126" s="43"/>
      <c r="V126" s="44"/>
      <c r="W126" s="44"/>
      <c r="X126" s="44">
        <f t="shared" si="29"/>
        <v>0</v>
      </c>
      <c r="Y126" s="44">
        <f>(X125-X126)/2</f>
        <v>0</v>
      </c>
      <c r="Z126" s="45"/>
      <c r="AA126" s="75"/>
      <c r="AB126" s="59"/>
    </row>
    <row r="127" spans="1:37" ht="12.75" customHeight="1">
      <c r="A127" s="15">
        <v>47</v>
      </c>
      <c r="B127" s="16">
        <v>42</v>
      </c>
      <c r="C127" s="38">
        <v>0</v>
      </c>
      <c r="D127" s="39">
        <v>0</v>
      </c>
      <c r="E127" s="39">
        <v>0</v>
      </c>
      <c r="F127" s="39">
        <f t="shared" si="27"/>
        <v>0</v>
      </c>
      <c r="G127" s="40"/>
      <c r="H127" s="41"/>
      <c r="I127" s="38">
        <v>-0.005</v>
      </c>
      <c r="J127" s="39">
        <v>-0.006</v>
      </c>
      <c r="K127" s="39">
        <v>-0.005</v>
      </c>
      <c r="L127" s="39">
        <f t="shared" si="31"/>
        <v>-0.005333333333333333</v>
      </c>
      <c r="M127" s="40"/>
      <c r="N127" s="41"/>
      <c r="O127" s="42"/>
      <c r="P127" s="40"/>
      <c r="Q127" s="40"/>
      <c r="R127" s="39">
        <f t="shared" si="28"/>
        <v>0</v>
      </c>
      <c r="S127" s="40"/>
      <c r="T127" s="41"/>
      <c r="U127" s="42"/>
      <c r="V127" s="40"/>
      <c r="W127" s="40"/>
      <c r="X127" s="39">
        <f t="shared" si="29"/>
        <v>0</v>
      </c>
      <c r="Y127" s="40"/>
      <c r="Z127" s="41"/>
      <c r="AA127" s="74"/>
      <c r="AB127" s="59">
        <f t="shared" si="22"/>
        <v>0.0095</v>
      </c>
      <c r="AC127" s="55">
        <f t="shared" si="18"/>
        <v>0.01</v>
      </c>
      <c r="AD127" s="55">
        <f t="shared" si="19"/>
        <v>-0.0014999999999999998</v>
      </c>
      <c r="AE127" s="55">
        <f>IF(G128=0,999,G128)</f>
        <v>0.0095</v>
      </c>
      <c r="AF127" s="55">
        <f>IF(M128=0,999,M128)</f>
        <v>-0.0014999999999999998</v>
      </c>
      <c r="AG127" s="55">
        <f>IF(S128=0,999,S128)</f>
        <v>999</v>
      </c>
      <c r="AH127" s="55">
        <f>IF(Y128=0,999,Y128)</f>
        <v>999</v>
      </c>
      <c r="AI127" s="55">
        <f>MIN(ABS(AE127),ABS(AF127),ABS(AG127),ABS(AH127))</f>
        <v>0.0014999999999999998</v>
      </c>
      <c r="AJ127" t="e">
        <f>MATCH(AI127,AE127:AH127,0)</f>
        <v>#N/A</v>
      </c>
      <c r="AK127" t="b">
        <f>ISNA(AJ127)</f>
        <v>1</v>
      </c>
    </row>
    <row r="128" spans="1:28" ht="12.75" customHeight="1">
      <c r="A128" s="17">
        <v>42</v>
      </c>
      <c r="B128" s="18">
        <v>47</v>
      </c>
      <c r="C128" s="43">
        <v>-0.019</v>
      </c>
      <c r="D128" s="44">
        <v>-0.019</v>
      </c>
      <c r="E128" s="44">
        <v>-0.019</v>
      </c>
      <c r="F128" s="44">
        <f t="shared" si="27"/>
        <v>-0.019</v>
      </c>
      <c r="G128" s="44">
        <f>(F127-F128)/2</f>
        <v>0.0095</v>
      </c>
      <c r="H128" s="45">
        <v>0.01</v>
      </c>
      <c r="I128" s="43">
        <v>-0.001</v>
      </c>
      <c r="J128" s="44">
        <v>-0.003</v>
      </c>
      <c r="K128" s="44">
        <v>-0.003</v>
      </c>
      <c r="L128" s="44">
        <f t="shared" si="31"/>
        <v>-0.0023333333333333335</v>
      </c>
      <c r="M128" s="44">
        <f>(L127-L128)/2</f>
        <v>-0.0014999999999999998</v>
      </c>
      <c r="N128" s="45"/>
      <c r="O128" s="43"/>
      <c r="P128" s="44"/>
      <c r="Q128" s="44"/>
      <c r="R128" s="44">
        <f t="shared" si="28"/>
        <v>0</v>
      </c>
      <c r="S128" s="44">
        <f>(R127-R128)/2</f>
        <v>0</v>
      </c>
      <c r="T128" s="45"/>
      <c r="U128" s="43"/>
      <c r="V128" s="44"/>
      <c r="W128" s="44"/>
      <c r="X128" s="44">
        <f t="shared" si="29"/>
        <v>0</v>
      </c>
      <c r="Y128" s="44">
        <f>(X127-X128)/2</f>
        <v>0</v>
      </c>
      <c r="Z128" s="45"/>
      <c r="AA128" s="75"/>
      <c r="AB128" s="59"/>
    </row>
    <row r="129" spans="1:37" ht="12.75" customHeight="1">
      <c r="A129" s="15">
        <v>52</v>
      </c>
      <c r="B129" s="16">
        <v>47</v>
      </c>
      <c r="C129" s="38">
        <v>0.007</v>
      </c>
      <c r="D129" s="39">
        <v>0.007</v>
      </c>
      <c r="E129" s="39">
        <v>0.007</v>
      </c>
      <c r="F129" s="39">
        <f t="shared" si="27"/>
        <v>0.007</v>
      </c>
      <c r="G129" s="40"/>
      <c r="H129" s="41"/>
      <c r="I129" s="49">
        <v>-0.011</v>
      </c>
      <c r="J129" s="95">
        <v>-0.011</v>
      </c>
      <c r="K129" s="95">
        <v>-0.011</v>
      </c>
      <c r="L129" s="39">
        <f t="shared" si="31"/>
        <v>-0.011000000000000001</v>
      </c>
      <c r="M129" s="40"/>
      <c r="N129" s="41"/>
      <c r="O129" s="42"/>
      <c r="P129" s="40"/>
      <c r="Q129" s="40"/>
      <c r="R129" s="39">
        <f t="shared" si="28"/>
        <v>0</v>
      </c>
      <c r="S129" s="40"/>
      <c r="T129" s="41"/>
      <c r="U129" s="42"/>
      <c r="V129" s="40"/>
      <c r="W129" s="40"/>
      <c r="X129" s="39">
        <f t="shared" si="29"/>
        <v>0</v>
      </c>
      <c r="Y129" s="40"/>
      <c r="Z129" s="41"/>
      <c r="AA129" s="74"/>
      <c r="AB129" s="59">
        <f t="shared" si="22"/>
        <v>0.01566666666666667</v>
      </c>
      <c r="AC129" s="55">
        <f t="shared" si="18"/>
        <v>0.016</v>
      </c>
      <c r="AD129" s="55">
        <f t="shared" si="19"/>
        <v>-0.002666666666666667</v>
      </c>
      <c r="AE129" s="55">
        <f>IF(G130=0,999,G130)</f>
        <v>0.01566666666666667</v>
      </c>
      <c r="AF129" s="55">
        <f>IF(M130=0,999,M130)</f>
        <v>-0.002666666666666667</v>
      </c>
      <c r="AG129" s="55">
        <f>IF(S130=0,999,S130)</f>
        <v>999</v>
      </c>
      <c r="AH129" s="55">
        <f>IF(Y130=0,999,Y130)</f>
        <v>999</v>
      </c>
      <c r="AI129" s="55">
        <f>MIN(ABS(AE129),ABS(AF129),ABS(AG129),ABS(AH129))</f>
        <v>0.002666666666666667</v>
      </c>
      <c r="AJ129" t="e">
        <f>MATCH(AI129,AE129:AH129,0)</f>
        <v>#N/A</v>
      </c>
      <c r="AK129" t="b">
        <f>ISNA(AJ129)</f>
        <v>1</v>
      </c>
    </row>
    <row r="130" spans="1:28" ht="12.75" customHeight="1">
      <c r="A130" s="17">
        <v>47</v>
      </c>
      <c r="B130" s="18">
        <v>52</v>
      </c>
      <c r="C130" s="43">
        <v>-0.024</v>
      </c>
      <c r="D130" s="44">
        <v>-0.024</v>
      </c>
      <c r="E130" s="44">
        <v>-0.025</v>
      </c>
      <c r="F130" s="44">
        <f t="shared" si="27"/>
        <v>-0.024333333333333335</v>
      </c>
      <c r="G130" s="44">
        <f>(F129-F130)/2</f>
        <v>0.01566666666666667</v>
      </c>
      <c r="H130" s="45">
        <v>0.016</v>
      </c>
      <c r="I130" s="43">
        <v>-0.005</v>
      </c>
      <c r="J130" s="44">
        <v>-0.006</v>
      </c>
      <c r="K130" s="44">
        <v>-0.006</v>
      </c>
      <c r="L130" s="44">
        <f t="shared" si="31"/>
        <v>-0.005666666666666667</v>
      </c>
      <c r="M130" s="44">
        <f>(L129-L130)/2</f>
        <v>-0.002666666666666667</v>
      </c>
      <c r="N130" s="45"/>
      <c r="O130" s="43"/>
      <c r="P130" s="44"/>
      <c r="Q130" s="44"/>
      <c r="R130" s="44">
        <f t="shared" si="28"/>
        <v>0</v>
      </c>
      <c r="S130" s="44">
        <f>(R129-R130)/2</f>
        <v>0</v>
      </c>
      <c r="T130" s="45"/>
      <c r="U130" s="43"/>
      <c r="V130" s="44"/>
      <c r="W130" s="44"/>
      <c r="X130" s="44">
        <f t="shared" si="29"/>
        <v>0</v>
      </c>
      <c r="Y130" s="44">
        <f>(X129-X130)/2</f>
        <v>0</v>
      </c>
      <c r="Z130" s="45"/>
      <c r="AA130" s="75"/>
      <c r="AB130" s="59"/>
    </row>
    <row r="131" spans="1:37" ht="12.75" customHeight="1">
      <c r="A131" s="15">
        <v>57</v>
      </c>
      <c r="B131" s="16">
        <v>52</v>
      </c>
      <c r="C131" s="38">
        <v>0.013</v>
      </c>
      <c r="D131" s="39">
        <v>0.013</v>
      </c>
      <c r="E131" s="39">
        <v>0.013</v>
      </c>
      <c r="F131" s="39">
        <f t="shared" si="27"/>
        <v>0.013</v>
      </c>
      <c r="G131" s="40"/>
      <c r="H131" s="41"/>
      <c r="I131" s="38">
        <v>-0.002</v>
      </c>
      <c r="J131" s="39">
        <v>-0.002</v>
      </c>
      <c r="K131" s="39">
        <v>-0.002</v>
      </c>
      <c r="L131" s="39">
        <f t="shared" si="31"/>
        <v>-0.002</v>
      </c>
      <c r="M131" s="40"/>
      <c r="N131" s="41"/>
      <c r="O131" s="42"/>
      <c r="P131" s="40"/>
      <c r="Q131" s="40"/>
      <c r="R131" s="39">
        <f t="shared" si="28"/>
        <v>0</v>
      </c>
      <c r="S131" s="40"/>
      <c r="T131" s="41"/>
      <c r="U131" s="42"/>
      <c r="V131" s="40"/>
      <c r="W131" s="40"/>
      <c r="X131" s="39">
        <f t="shared" si="29"/>
        <v>0</v>
      </c>
      <c r="Y131" s="40"/>
      <c r="Z131" s="41"/>
      <c r="AA131" s="74"/>
      <c r="AB131" s="59">
        <f t="shared" si="22"/>
        <v>0.015</v>
      </c>
      <c r="AC131" s="55">
        <f t="shared" si="18"/>
        <v>0.015</v>
      </c>
      <c r="AD131" s="55">
        <f t="shared" si="19"/>
        <v>0.015</v>
      </c>
      <c r="AE131" s="55">
        <f>IF(G132=0,999,G132)</f>
        <v>0.015</v>
      </c>
      <c r="AF131" s="55">
        <f>IF(M132=0,999,M132)</f>
        <v>999</v>
      </c>
      <c r="AG131" s="55">
        <f>IF(S132=0,999,S132)</f>
        <v>999</v>
      </c>
      <c r="AH131" s="55">
        <f>IF(Y132=0,999,Y132)</f>
        <v>999</v>
      </c>
      <c r="AI131" s="55">
        <f>MIN(ABS(AE131),ABS(AF131),ABS(AG131),ABS(AH131))</f>
        <v>0.015</v>
      </c>
      <c r="AJ131">
        <f>MATCH(AI131,AE131:AH131,0)</f>
        <v>1</v>
      </c>
      <c r="AK131" t="b">
        <f>ISNA(AJ131)</f>
        <v>0</v>
      </c>
    </row>
    <row r="132" spans="1:28" ht="12.75" customHeight="1">
      <c r="A132" s="17">
        <v>52</v>
      </c>
      <c r="B132" s="18">
        <v>57</v>
      </c>
      <c r="C132" s="43">
        <v>-0.017</v>
      </c>
      <c r="D132" s="44">
        <v>-0.017</v>
      </c>
      <c r="E132" s="44">
        <v>-0.017</v>
      </c>
      <c r="F132" s="44">
        <f t="shared" si="27"/>
        <v>-0.017</v>
      </c>
      <c r="G132" s="44">
        <f>(F131-F132)/2</f>
        <v>0.015</v>
      </c>
      <c r="H132" s="45">
        <v>0.015</v>
      </c>
      <c r="I132" s="43">
        <v>-0.001</v>
      </c>
      <c r="J132" s="44">
        <v>-0.002</v>
      </c>
      <c r="K132" s="44">
        <v>-0.003</v>
      </c>
      <c r="L132" s="44">
        <f t="shared" si="31"/>
        <v>-0.002</v>
      </c>
      <c r="M132" s="44">
        <f>(L131-L132)/2</f>
        <v>0</v>
      </c>
      <c r="N132" s="45"/>
      <c r="O132" s="43"/>
      <c r="P132" s="44"/>
      <c r="Q132" s="44"/>
      <c r="R132" s="44">
        <f t="shared" si="28"/>
        <v>0</v>
      </c>
      <c r="S132" s="44">
        <f>(R131-R132)/2</f>
        <v>0</v>
      </c>
      <c r="T132" s="45"/>
      <c r="U132" s="43"/>
      <c r="V132" s="44"/>
      <c r="W132" s="44"/>
      <c r="X132" s="44">
        <f t="shared" si="29"/>
        <v>0</v>
      </c>
      <c r="Y132" s="44">
        <f>(X131-X132)/2</f>
        <v>0</v>
      </c>
      <c r="Z132" s="45"/>
      <c r="AA132" s="75"/>
      <c r="AB132" s="59"/>
    </row>
    <row r="133" spans="1:37" ht="12.75" customHeight="1">
      <c r="A133" s="15">
        <v>46</v>
      </c>
      <c r="B133" s="16">
        <v>41</v>
      </c>
      <c r="C133" s="38">
        <v>-0.005</v>
      </c>
      <c r="D133" s="39">
        <v>-0.005</v>
      </c>
      <c r="E133" s="39">
        <v>-0.005</v>
      </c>
      <c r="F133" s="39">
        <f t="shared" si="27"/>
        <v>-0.005</v>
      </c>
      <c r="G133" s="40"/>
      <c r="H133" s="41"/>
      <c r="I133" s="38"/>
      <c r="J133" s="39"/>
      <c r="K133" s="39"/>
      <c r="L133" s="39">
        <f t="shared" si="31"/>
        <v>0</v>
      </c>
      <c r="M133" s="40"/>
      <c r="N133" s="41"/>
      <c r="O133" s="42"/>
      <c r="P133" s="40"/>
      <c r="Q133" s="40"/>
      <c r="R133" s="39">
        <f t="shared" si="28"/>
        <v>0</v>
      </c>
      <c r="S133" s="40"/>
      <c r="T133" s="41"/>
      <c r="U133" s="42"/>
      <c r="V133" s="40"/>
      <c r="W133" s="40"/>
      <c r="X133" s="39">
        <f t="shared" si="29"/>
        <v>0</v>
      </c>
      <c r="Y133" s="40"/>
      <c r="Z133" s="41"/>
      <c r="AA133" s="74"/>
      <c r="AB133" s="59">
        <f t="shared" si="22"/>
        <v>-0.0033333333333333335</v>
      </c>
      <c r="AC133" s="55">
        <f t="shared" si="18"/>
        <v>0</v>
      </c>
      <c r="AD133" s="55">
        <f t="shared" si="19"/>
        <v>-0.0033333333333333335</v>
      </c>
      <c r="AE133" s="55">
        <f>IF(G134=0,999,G134)</f>
        <v>-0.0033333333333333335</v>
      </c>
      <c r="AF133" s="55">
        <f>IF(M134=0,999,M134)</f>
        <v>999</v>
      </c>
      <c r="AG133" s="55">
        <f>IF(S134=0,999,S134)</f>
        <v>999</v>
      </c>
      <c r="AH133" s="55">
        <f>IF(Y134=0,999,Y134)</f>
        <v>999</v>
      </c>
      <c r="AI133" s="55">
        <f>MIN(ABS(AE133),ABS(AF133),ABS(AG133),ABS(AH133))</f>
        <v>0.0033333333333333335</v>
      </c>
      <c r="AJ133" t="e">
        <f>MATCH(AI133,AE133:AH133,0)</f>
        <v>#N/A</v>
      </c>
      <c r="AK133" t="b">
        <f>ISNA(AJ133)</f>
        <v>1</v>
      </c>
    </row>
    <row r="134" spans="1:28" ht="12.75" customHeight="1">
      <c r="A134" s="17">
        <v>41</v>
      </c>
      <c r="B134" s="18">
        <v>46</v>
      </c>
      <c r="C134" s="43">
        <v>0.002</v>
      </c>
      <c r="D134" s="44">
        <v>0.002</v>
      </c>
      <c r="E134" s="44">
        <v>0.001</v>
      </c>
      <c r="F134" s="44">
        <f t="shared" si="27"/>
        <v>0.0016666666666666668</v>
      </c>
      <c r="G134" s="44">
        <f>(F133-F134)/2</f>
        <v>-0.0033333333333333335</v>
      </c>
      <c r="H134" s="45"/>
      <c r="I134" s="43"/>
      <c r="J134" s="44"/>
      <c r="K134" s="44"/>
      <c r="L134" s="44">
        <f t="shared" si="31"/>
        <v>0</v>
      </c>
      <c r="M134" s="44">
        <f>(L133-L134)/2</f>
        <v>0</v>
      </c>
      <c r="N134" s="45"/>
      <c r="O134" s="43"/>
      <c r="P134" s="44"/>
      <c r="Q134" s="44"/>
      <c r="R134" s="44">
        <f t="shared" si="28"/>
        <v>0</v>
      </c>
      <c r="S134" s="44">
        <f>(R133-R134)/2</f>
        <v>0</v>
      </c>
      <c r="T134" s="45"/>
      <c r="U134" s="43"/>
      <c r="V134" s="44"/>
      <c r="W134" s="44"/>
      <c r="X134" s="44">
        <f t="shared" si="29"/>
        <v>0</v>
      </c>
      <c r="Y134" s="44">
        <f>(X133-X134)/2</f>
        <v>0</v>
      </c>
      <c r="Z134" s="45"/>
      <c r="AA134" s="75"/>
      <c r="AB134" s="59"/>
    </row>
    <row r="135" spans="1:37" ht="12.75" customHeight="1">
      <c r="A135" s="15">
        <v>26</v>
      </c>
      <c r="B135" s="16">
        <v>37</v>
      </c>
      <c r="C135" s="38">
        <v>-0.01</v>
      </c>
      <c r="D135" s="39">
        <v>-0.01</v>
      </c>
      <c r="E135" s="39">
        <v>-0.01</v>
      </c>
      <c r="F135" s="39">
        <f t="shared" si="27"/>
        <v>-0.01</v>
      </c>
      <c r="G135" s="40"/>
      <c r="H135" s="41"/>
      <c r="I135" s="38"/>
      <c r="J135" s="39"/>
      <c r="K135" s="39"/>
      <c r="L135" s="39">
        <f t="shared" si="31"/>
        <v>0</v>
      </c>
      <c r="M135" s="40"/>
      <c r="N135" s="41"/>
      <c r="O135" s="42"/>
      <c r="P135" s="40"/>
      <c r="Q135" s="40"/>
      <c r="R135" s="39">
        <f t="shared" si="28"/>
        <v>0</v>
      </c>
      <c r="S135" s="40"/>
      <c r="T135" s="41"/>
      <c r="U135" s="42"/>
      <c r="V135" s="40"/>
      <c r="W135" s="40"/>
      <c r="X135" s="39">
        <f t="shared" si="29"/>
        <v>0</v>
      </c>
      <c r="Y135" s="40"/>
      <c r="Z135" s="41"/>
      <c r="AA135" s="74"/>
      <c r="AB135" s="59">
        <f t="shared" si="22"/>
        <v>-0.008</v>
      </c>
      <c r="AC135" s="55">
        <f aca="true" t="shared" si="32" ref="AC135:AC181">H136+N136+T136</f>
        <v>0</v>
      </c>
      <c r="AD135" s="55">
        <f aca="true" t="shared" si="33" ref="AD135:AD181">IF(AK135,-AI135,AI135)</f>
        <v>-0.008</v>
      </c>
      <c r="AE135" s="55">
        <f>IF(G136=0,999,G136)</f>
        <v>-0.008</v>
      </c>
      <c r="AF135" s="55">
        <f>IF(M136=0,999,M136)</f>
        <v>999</v>
      </c>
      <c r="AG135" s="55">
        <f>IF(S136=0,999,S136)</f>
        <v>999</v>
      </c>
      <c r="AH135" s="55">
        <f>IF(Y136=0,999,Y136)</f>
        <v>999</v>
      </c>
      <c r="AI135" s="55">
        <f>MIN(ABS(AE135),ABS(AF135),ABS(AG135),ABS(AH135))</f>
        <v>0.008</v>
      </c>
      <c r="AJ135" t="e">
        <f>MATCH(AI135,AE135:AH135,0)</f>
        <v>#N/A</v>
      </c>
      <c r="AK135" t="b">
        <f>ISNA(AJ135)</f>
        <v>1</v>
      </c>
    </row>
    <row r="136" spans="1:28" ht="12.75" customHeight="1">
      <c r="A136" s="17">
        <v>37</v>
      </c>
      <c r="B136" s="18">
        <v>26</v>
      </c>
      <c r="C136" s="43">
        <v>0.006</v>
      </c>
      <c r="D136" s="44">
        <v>0.006</v>
      </c>
      <c r="E136" s="44">
        <v>0.006</v>
      </c>
      <c r="F136" s="44">
        <f t="shared" si="27"/>
        <v>0.006000000000000001</v>
      </c>
      <c r="G136" s="44">
        <f>(F135-F136)/2</f>
        <v>-0.008</v>
      </c>
      <c r="H136" s="45"/>
      <c r="I136" s="43"/>
      <c r="J136" s="44"/>
      <c r="K136" s="44"/>
      <c r="L136" s="44">
        <f t="shared" si="31"/>
        <v>0</v>
      </c>
      <c r="M136" s="44">
        <f>(L135-L136)/2</f>
        <v>0</v>
      </c>
      <c r="N136" s="45"/>
      <c r="O136" s="43"/>
      <c r="P136" s="44"/>
      <c r="Q136" s="44"/>
      <c r="R136" s="44">
        <f t="shared" si="28"/>
        <v>0</v>
      </c>
      <c r="S136" s="44">
        <f>(R135-R136)/2</f>
        <v>0</v>
      </c>
      <c r="T136" s="45"/>
      <c r="U136" s="43"/>
      <c r="V136" s="44"/>
      <c r="W136" s="44"/>
      <c r="X136" s="44">
        <f t="shared" si="29"/>
        <v>0</v>
      </c>
      <c r="Y136" s="44">
        <f>(X135-X136)/2</f>
        <v>0</v>
      </c>
      <c r="Z136" s="45"/>
      <c r="AA136" s="75"/>
      <c r="AB136" s="59"/>
    </row>
    <row r="137" spans="1:37" ht="12.75" customHeight="1">
      <c r="A137" s="15">
        <v>20</v>
      </c>
      <c r="B137" s="16">
        <v>31</v>
      </c>
      <c r="C137" s="38">
        <v>-0.016</v>
      </c>
      <c r="D137" s="39">
        <v>-0.016</v>
      </c>
      <c r="E137" s="39">
        <v>-0.016</v>
      </c>
      <c r="F137" s="39">
        <f aca="true" t="shared" si="34" ref="F137:F168">SUM(C137:E137)/3</f>
        <v>-0.016</v>
      </c>
      <c r="G137" s="40"/>
      <c r="H137" s="41"/>
      <c r="I137" s="38">
        <v>-0.005</v>
      </c>
      <c r="J137" s="39">
        <v>-0.006</v>
      </c>
      <c r="K137" s="39">
        <v>-0.006</v>
      </c>
      <c r="L137" s="39">
        <f t="shared" si="31"/>
        <v>-0.005666666666666667</v>
      </c>
      <c r="M137" s="40"/>
      <c r="N137" s="41"/>
      <c r="O137" s="42"/>
      <c r="P137" s="40"/>
      <c r="Q137" s="40"/>
      <c r="R137" s="39">
        <f t="shared" si="28"/>
        <v>0</v>
      </c>
      <c r="S137" s="40"/>
      <c r="T137" s="41"/>
      <c r="U137" s="42"/>
      <c r="V137" s="40"/>
      <c r="W137" s="40"/>
      <c r="X137" s="39">
        <f t="shared" si="29"/>
        <v>0</v>
      </c>
      <c r="Y137" s="40"/>
      <c r="Z137" s="41"/>
      <c r="AA137" s="74"/>
      <c r="AB137" s="59">
        <f t="shared" si="22"/>
        <v>-0.011000000000000001</v>
      </c>
      <c r="AC137" s="55">
        <f t="shared" si="32"/>
        <v>-0.011</v>
      </c>
      <c r="AD137" s="55">
        <f t="shared" si="33"/>
        <v>-0.0015000000000000002</v>
      </c>
      <c r="AE137" s="55">
        <f>IF(G138=0,999,G138)</f>
        <v>-0.011000000000000001</v>
      </c>
      <c r="AF137" s="55">
        <f>IF(M138=0,999,M138)</f>
        <v>-0.0015000000000000002</v>
      </c>
      <c r="AG137" s="55">
        <f>IF(S138=0,999,S138)</f>
        <v>999</v>
      </c>
      <c r="AH137" s="55">
        <f>IF(Y138=0,999,Y138)</f>
        <v>999</v>
      </c>
      <c r="AI137" s="55">
        <f>MIN(ABS(AE137),ABS(AF137),ABS(AG137),ABS(AH137))</f>
        <v>0.0015000000000000002</v>
      </c>
      <c r="AJ137" t="e">
        <f>MATCH(AI137,AE137:AH137,0)</f>
        <v>#N/A</v>
      </c>
      <c r="AK137" t="b">
        <f>ISNA(AJ137)</f>
        <v>1</v>
      </c>
    </row>
    <row r="138" spans="1:28" ht="12.75" customHeight="1">
      <c r="A138" s="17">
        <v>31</v>
      </c>
      <c r="B138" s="18">
        <v>20</v>
      </c>
      <c r="C138" s="43">
        <v>0.006</v>
      </c>
      <c r="D138" s="44">
        <v>0.006</v>
      </c>
      <c r="E138" s="44">
        <v>0.006</v>
      </c>
      <c r="F138" s="44">
        <f t="shared" si="34"/>
        <v>0.006000000000000001</v>
      </c>
      <c r="G138" s="44">
        <f>(F137-F138)/2</f>
        <v>-0.011000000000000001</v>
      </c>
      <c r="H138" s="45">
        <v>-0.011</v>
      </c>
      <c r="I138" s="43">
        <v>-0.002</v>
      </c>
      <c r="J138" s="44">
        <v>-0.003</v>
      </c>
      <c r="K138" s="44">
        <v>-0.003</v>
      </c>
      <c r="L138" s="44">
        <f t="shared" si="31"/>
        <v>-0.0026666666666666666</v>
      </c>
      <c r="M138" s="44">
        <f>(L137-L138)/2</f>
        <v>-0.0015000000000000002</v>
      </c>
      <c r="N138" s="45"/>
      <c r="O138" s="43"/>
      <c r="P138" s="44"/>
      <c r="Q138" s="44"/>
      <c r="R138" s="44">
        <f t="shared" si="28"/>
        <v>0</v>
      </c>
      <c r="S138" s="44">
        <f>(R137-R138)/2</f>
        <v>0</v>
      </c>
      <c r="T138" s="45"/>
      <c r="U138" s="43"/>
      <c r="V138" s="44"/>
      <c r="W138" s="44"/>
      <c r="X138" s="44">
        <f t="shared" si="29"/>
        <v>0</v>
      </c>
      <c r="Y138" s="44">
        <f>(X137-X138)/2</f>
        <v>0</v>
      </c>
      <c r="Z138" s="45"/>
      <c r="AA138" s="75"/>
      <c r="AB138" s="59"/>
    </row>
    <row r="139" spans="1:37" ht="12.75" customHeight="1">
      <c r="A139" s="15">
        <v>15</v>
      </c>
      <c r="B139" s="16">
        <v>25</v>
      </c>
      <c r="C139" s="51">
        <v>-0.002</v>
      </c>
      <c r="D139" s="53">
        <v>-0.002</v>
      </c>
      <c r="E139" s="53">
        <v>-0.002</v>
      </c>
      <c r="F139" s="39">
        <f t="shared" si="34"/>
        <v>-0.002</v>
      </c>
      <c r="G139" s="40"/>
      <c r="H139" s="41"/>
      <c r="I139" s="42"/>
      <c r="J139" s="40"/>
      <c r="K139" s="40"/>
      <c r="L139" s="39">
        <f t="shared" si="31"/>
        <v>0</v>
      </c>
      <c r="M139" s="40"/>
      <c r="N139" s="41"/>
      <c r="O139" s="42"/>
      <c r="P139" s="40"/>
      <c r="Q139" s="40"/>
      <c r="R139" s="39">
        <f t="shared" si="28"/>
        <v>0</v>
      </c>
      <c r="S139" s="40"/>
      <c r="T139" s="41"/>
      <c r="U139" s="42"/>
      <c r="V139" s="40"/>
      <c r="W139" s="40"/>
      <c r="X139" s="39">
        <f t="shared" si="29"/>
        <v>0</v>
      </c>
      <c r="Y139" s="40"/>
      <c r="Z139" s="41"/>
      <c r="AA139" s="74"/>
      <c r="AB139" s="59">
        <f t="shared" si="22"/>
        <v>-0.003166666666666667</v>
      </c>
      <c r="AC139" s="55">
        <f t="shared" si="32"/>
        <v>0</v>
      </c>
      <c r="AD139" s="55">
        <f t="shared" si="33"/>
        <v>-0.003166666666666667</v>
      </c>
      <c r="AE139" s="55">
        <f>IF(G140=0,999,G140)</f>
        <v>-0.003166666666666667</v>
      </c>
      <c r="AF139" s="55">
        <f>IF(M140=0,999,M140)</f>
        <v>999</v>
      </c>
      <c r="AG139" s="55">
        <f>IF(S140=0,999,S140)</f>
        <v>999</v>
      </c>
      <c r="AH139" s="55">
        <f>IF(Y140=0,999,Y140)</f>
        <v>999</v>
      </c>
      <c r="AI139" s="55">
        <f>MIN(ABS(AE139),ABS(AF139),ABS(AG139),ABS(AH139))</f>
        <v>0.003166666666666667</v>
      </c>
      <c r="AJ139" t="e">
        <f>MATCH(AI139,AE139:AH139,0)</f>
        <v>#N/A</v>
      </c>
      <c r="AK139" t="b">
        <f>ISNA(AJ139)</f>
        <v>1</v>
      </c>
    </row>
    <row r="140" spans="1:28" ht="12.75" customHeight="1">
      <c r="A140" s="17">
        <v>25</v>
      </c>
      <c r="B140" s="18">
        <v>15</v>
      </c>
      <c r="C140" s="43">
        <v>0.005</v>
      </c>
      <c r="D140" s="44">
        <v>0.005</v>
      </c>
      <c r="E140" s="44">
        <v>0.003</v>
      </c>
      <c r="F140" s="44">
        <f t="shared" si="34"/>
        <v>0.004333333333333334</v>
      </c>
      <c r="G140" s="44">
        <f>(F139-F140)/2</f>
        <v>-0.003166666666666667</v>
      </c>
      <c r="H140" s="45"/>
      <c r="I140" s="43"/>
      <c r="J140" s="44"/>
      <c r="K140" s="44"/>
      <c r="L140" s="44">
        <f t="shared" si="31"/>
        <v>0</v>
      </c>
      <c r="M140" s="44">
        <f>(L139-L140)/2</f>
        <v>0</v>
      </c>
      <c r="N140" s="45"/>
      <c r="O140" s="43"/>
      <c r="P140" s="44"/>
      <c r="Q140" s="44"/>
      <c r="R140" s="44">
        <f t="shared" si="28"/>
        <v>0</v>
      </c>
      <c r="S140" s="44">
        <f>(R139-R140)/2</f>
        <v>0</v>
      </c>
      <c r="T140" s="45"/>
      <c r="U140" s="43"/>
      <c r="V140" s="44"/>
      <c r="W140" s="44"/>
      <c r="X140" s="44">
        <f t="shared" si="29"/>
        <v>0</v>
      </c>
      <c r="Y140" s="44">
        <f>(X139-X140)/2</f>
        <v>0</v>
      </c>
      <c r="Z140" s="45"/>
      <c r="AA140" s="75"/>
      <c r="AB140" s="59"/>
    </row>
    <row r="141" spans="1:37" ht="12.75" customHeight="1">
      <c r="A141" s="15">
        <v>10</v>
      </c>
      <c r="B141" s="16">
        <v>19</v>
      </c>
      <c r="C141" s="38">
        <v>0.033</v>
      </c>
      <c r="D141" s="39">
        <v>0.033</v>
      </c>
      <c r="E141" s="39">
        <v>0.033</v>
      </c>
      <c r="F141" s="39">
        <f t="shared" si="34"/>
        <v>0.033</v>
      </c>
      <c r="G141" s="40"/>
      <c r="H141" s="41"/>
      <c r="I141" s="38">
        <v>0.012</v>
      </c>
      <c r="J141" s="39">
        <v>0.012</v>
      </c>
      <c r="K141" s="39">
        <v>0.011</v>
      </c>
      <c r="L141" s="39">
        <f aca="true" t="shared" si="35" ref="L141:L182">SUM(I141:K141)/3</f>
        <v>0.011666666666666667</v>
      </c>
      <c r="M141" s="40"/>
      <c r="N141" s="41"/>
      <c r="O141" s="38">
        <v>0.001</v>
      </c>
      <c r="P141" s="39">
        <v>0.001</v>
      </c>
      <c r="Q141" s="39">
        <v>0.001</v>
      </c>
      <c r="R141" s="39">
        <f>SUM(O141:Q141)/3</f>
        <v>0.001</v>
      </c>
      <c r="S141" s="40"/>
      <c r="T141" s="41"/>
      <c r="U141" s="38"/>
      <c r="V141" s="39"/>
      <c r="W141" s="39"/>
      <c r="X141" s="39">
        <f>SUM(U141:W141)/3</f>
        <v>0</v>
      </c>
      <c r="Y141" s="40"/>
      <c r="Z141" s="41"/>
      <c r="AA141" s="74"/>
      <c r="AB141" s="59">
        <f t="shared" si="22"/>
        <v>0.036000000000000004</v>
      </c>
      <c r="AC141" s="55">
        <f t="shared" si="32"/>
        <v>0.048999999999999995</v>
      </c>
      <c r="AD141" s="55">
        <f t="shared" si="33"/>
        <v>0.004</v>
      </c>
      <c r="AE141" s="55">
        <f>IF(G142=0,999,G142)</f>
        <v>0.036000000000000004</v>
      </c>
      <c r="AF141" s="55">
        <f>IF(M142=0,999,M142)</f>
        <v>0.013</v>
      </c>
      <c r="AG141" s="55">
        <f>IF(S142=0,999,S142)</f>
        <v>0.004</v>
      </c>
      <c r="AH141" s="55">
        <f>IF(Y142=0,999,Y142)</f>
        <v>999</v>
      </c>
      <c r="AI141" s="55">
        <f>MIN(ABS(AE141),ABS(AF141),ABS(AG141),ABS(AH141))</f>
        <v>0.004</v>
      </c>
      <c r="AJ141">
        <f>MATCH(AI141,AE141:AH141,0)</f>
        <v>3</v>
      </c>
      <c r="AK141" t="b">
        <f>ISNA(AJ141)</f>
        <v>0</v>
      </c>
    </row>
    <row r="142" spans="1:28" ht="12.75" customHeight="1">
      <c r="A142" s="17">
        <v>19</v>
      </c>
      <c r="B142" s="18">
        <v>10</v>
      </c>
      <c r="C142" s="43">
        <v>-0.039</v>
      </c>
      <c r="D142" s="44">
        <v>-0.039</v>
      </c>
      <c r="E142" s="44">
        <v>-0.039</v>
      </c>
      <c r="F142" s="44">
        <f t="shared" si="34"/>
        <v>-0.039</v>
      </c>
      <c r="G142" s="44">
        <f>(F141-F142)/2</f>
        <v>0.036000000000000004</v>
      </c>
      <c r="H142" s="45">
        <v>0.036</v>
      </c>
      <c r="I142" s="43">
        <v>-0.013</v>
      </c>
      <c r="J142" s="44">
        <v>-0.015</v>
      </c>
      <c r="K142" s="44">
        <v>-0.015</v>
      </c>
      <c r="L142" s="44">
        <f t="shared" si="35"/>
        <v>-0.014333333333333332</v>
      </c>
      <c r="M142" s="44">
        <f>(L141-L142)/2</f>
        <v>0.013</v>
      </c>
      <c r="N142" s="45">
        <v>0.013</v>
      </c>
      <c r="O142" s="43">
        <v>-0.007</v>
      </c>
      <c r="P142" s="44">
        <v>-0.007</v>
      </c>
      <c r="Q142" s="44">
        <v>-0.007</v>
      </c>
      <c r="R142" s="44">
        <f>SUM(O142:Q142)/3</f>
        <v>-0.007</v>
      </c>
      <c r="S142" s="44">
        <f>(R141-R142)/2</f>
        <v>0.004</v>
      </c>
      <c r="T142" s="45"/>
      <c r="U142" s="43"/>
      <c r="V142" s="44"/>
      <c r="W142" s="44"/>
      <c r="X142" s="44">
        <f>SUM(U142:W142)/3</f>
        <v>0</v>
      </c>
      <c r="Y142" s="44">
        <f>(X141-X142)/2</f>
        <v>0</v>
      </c>
      <c r="Z142" s="45"/>
      <c r="AA142" s="75"/>
      <c r="AB142" s="59"/>
    </row>
    <row r="143" spans="1:37" ht="12.75" customHeight="1">
      <c r="A143" s="15">
        <v>6</v>
      </c>
      <c r="B143" s="16">
        <v>15</v>
      </c>
      <c r="C143" s="38">
        <v>0.024</v>
      </c>
      <c r="D143" s="39">
        <v>0.024</v>
      </c>
      <c r="E143" s="39">
        <v>0.024</v>
      </c>
      <c r="F143" s="39">
        <f t="shared" si="34"/>
        <v>0.024000000000000004</v>
      </c>
      <c r="G143" s="40"/>
      <c r="H143" s="41"/>
      <c r="I143" s="38">
        <v>0</v>
      </c>
      <c r="J143" s="39">
        <v>0</v>
      </c>
      <c r="K143" s="39">
        <v>0</v>
      </c>
      <c r="L143" s="39">
        <f t="shared" si="35"/>
        <v>0</v>
      </c>
      <c r="M143" s="40"/>
      <c r="N143" s="41"/>
      <c r="O143" s="42"/>
      <c r="P143" s="40"/>
      <c r="Q143" s="40"/>
      <c r="R143" s="39">
        <f aca="true" t="shared" si="36" ref="R143:R172">SUM(O143:Q143)/3</f>
        <v>0</v>
      </c>
      <c r="S143" s="40"/>
      <c r="T143" s="41"/>
      <c r="U143" s="42"/>
      <c r="V143" s="40"/>
      <c r="W143" s="40"/>
      <c r="X143" s="39">
        <f aca="true" t="shared" si="37" ref="X143:X172">SUM(U143:W143)/3</f>
        <v>0</v>
      </c>
      <c r="Y143" s="40"/>
      <c r="Z143" s="41"/>
      <c r="AA143" s="74"/>
      <c r="AB143" s="59">
        <f t="shared" si="22"/>
        <v>0.02666666666666667</v>
      </c>
      <c r="AC143" s="55">
        <f t="shared" si="32"/>
        <v>0.027</v>
      </c>
      <c r="AD143" s="55">
        <f t="shared" si="33"/>
        <v>0.0018333333333333333</v>
      </c>
      <c r="AE143" s="55">
        <f>IF(G144=0,999,G144)</f>
        <v>0.02666666666666667</v>
      </c>
      <c r="AF143" s="55">
        <f>IF(M144=0,999,M144)</f>
        <v>0.0018333333333333333</v>
      </c>
      <c r="AG143" s="55">
        <f>IF(S144=0,999,S144)</f>
        <v>999</v>
      </c>
      <c r="AH143" s="55">
        <f>IF(Y144=0,999,Y144)</f>
        <v>999</v>
      </c>
      <c r="AI143" s="55">
        <f>MIN(ABS(AE143),ABS(AF143),ABS(AG143),ABS(AH143))</f>
        <v>0.0018333333333333333</v>
      </c>
      <c r="AJ143">
        <f>MATCH(AI143,AE143:AH143,0)</f>
        <v>2</v>
      </c>
      <c r="AK143" t="b">
        <f>ISNA(AJ143)</f>
        <v>0</v>
      </c>
    </row>
    <row r="144" spans="1:28" ht="12.75" customHeight="1">
      <c r="A144" s="17">
        <v>15</v>
      </c>
      <c r="B144" s="18">
        <v>6</v>
      </c>
      <c r="C144" s="43">
        <v>-0.029</v>
      </c>
      <c r="D144" s="44">
        <v>-0.029</v>
      </c>
      <c r="E144" s="44">
        <v>-0.03</v>
      </c>
      <c r="F144" s="44">
        <f t="shared" si="34"/>
        <v>-0.029333333333333333</v>
      </c>
      <c r="G144" s="44">
        <f>(F143-F144)/2</f>
        <v>0.02666666666666667</v>
      </c>
      <c r="H144" s="45">
        <v>0.027</v>
      </c>
      <c r="I144" s="43">
        <v>-0.003</v>
      </c>
      <c r="J144" s="44">
        <v>-0.003</v>
      </c>
      <c r="K144" s="44">
        <v>-0.005</v>
      </c>
      <c r="L144" s="44">
        <f t="shared" si="35"/>
        <v>-0.0036666666666666666</v>
      </c>
      <c r="M144" s="44">
        <f>(L143-L144)/2</f>
        <v>0.0018333333333333333</v>
      </c>
      <c r="N144" s="45"/>
      <c r="O144" s="43"/>
      <c r="P144" s="44"/>
      <c r="Q144" s="44"/>
      <c r="R144" s="44">
        <f t="shared" si="36"/>
        <v>0</v>
      </c>
      <c r="S144" s="44">
        <f>(R143-R144)/2</f>
        <v>0</v>
      </c>
      <c r="T144" s="45"/>
      <c r="U144" s="43"/>
      <c r="V144" s="44"/>
      <c r="W144" s="44"/>
      <c r="X144" s="44">
        <f t="shared" si="37"/>
        <v>0</v>
      </c>
      <c r="Y144" s="44">
        <f>(X143-X144)/2</f>
        <v>0</v>
      </c>
      <c r="Z144" s="45"/>
      <c r="AA144" s="75"/>
      <c r="AB144" s="59"/>
    </row>
    <row r="145" spans="1:37" ht="12.75" customHeight="1">
      <c r="A145" s="15">
        <v>11</v>
      </c>
      <c r="B145" s="16">
        <v>20</v>
      </c>
      <c r="C145" s="38">
        <v>-0.006</v>
      </c>
      <c r="D145" s="39">
        <v>-0.006</v>
      </c>
      <c r="E145" s="39">
        <v>-0.007</v>
      </c>
      <c r="F145" s="39">
        <f t="shared" si="34"/>
        <v>-0.006333333333333333</v>
      </c>
      <c r="G145" s="40"/>
      <c r="H145" s="41"/>
      <c r="I145" s="38"/>
      <c r="J145" s="39"/>
      <c r="K145" s="39"/>
      <c r="L145" s="39">
        <f t="shared" si="35"/>
        <v>0</v>
      </c>
      <c r="M145" s="40"/>
      <c r="N145" s="41"/>
      <c r="O145" s="42"/>
      <c r="P145" s="40"/>
      <c r="Q145" s="40"/>
      <c r="R145" s="39">
        <f t="shared" si="36"/>
        <v>0</v>
      </c>
      <c r="S145" s="40"/>
      <c r="T145" s="41"/>
      <c r="U145" s="42"/>
      <c r="V145" s="40"/>
      <c r="W145" s="40"/>
      <c r="X145" s="39">
        <f t="shared" si="37"/>
        <v>0</v>
      </c>
      <c r="Y145" s="40"/>
      <c r="Z145" s="41"/>
      <c r="AA145" s="74"/>
      <c r="AB145" s="59">
        <f t="shared" si="22"/>
        <v>-0.0026666666666666666</v>
      </c>
      <c r="AC145" s="55">
        <f t="shared" si="32"/>
        <v>0</v>
      </c>
      <c r="AD145" s="55">
        <f t="shared" si="33"/>
        <v>-0.0026666666666666666</v>
      </c>
      <c r="AE145" s="55">
        <f>IF(G146=0,999,G146)</f>
        <v>-0.0026666666666666666</v>
      </c>
      <c r="AF145" s="55">
        <f>IF(M146=0,999,M146)</f>
        <v>999</v>
      </c>
      <c r="AG145" s="55">
        <f>IF(S146=0,999,S146)</f>
        <v>999</v>
      </c>
      <c r="AH145" s="55">
        <f>IF(Y146=0,999,Y146)</f>
        <v>999</v>
      </c>
      <c r="AI145" s="55">
        <f>MIN(ABS(AE145),ABS(AF145),ABS(AG145),ABS(AH145))</f>
        <v>0.0026666666666666666</v>
      </c>
      <c r="AJ145" t="e">
        <f>MATCH(AI145,AE145:AH145,0)</f>
        <v>#N/A</v>
      </c>
      <c r="AK145" t="b">
        <f>ISNA(AJ145)</f>
        <v>1</v>
      </c>
    </row>
    <row r="146" spans="1:28" ht="12.75" customHeight="1">
      <c r="A146" s="17">
        <v>20</v>
      </c>
      <c r="B146" s="18">
        <v>11</v>
      </c>
      <c r="C146" s="43">
        <v>0</v>
      </c>
      <c r="D146" s="44">
        <v>-0.001</v>
      </c>
      <c r="E146" s="44">
        <v>-0.002</v>
      </c>
      <c r="F146" s="44">
        <f t="shared" si="34"/>
        <v>-0.001</v>
      </c>
      <c r="G146" s="44">
        <f>(F145-F146)/2</f>
        <v>-0.0026666666666666666</v>
      </c>
      <c r="H146" s="45"/>
      <c r="I146" s="43"/>
      <c r="J146" s="44"/>
      <c r="K146" s="44"/>
      <c r="L146" s="44">
        <f t="shared" si="35"/>
        <v>0</v>
      </c>
      <c r="M146" s="44">
        <f>(L145-L146)/2</f>
        <v>0</v>
      </c>
      <c r="N146" s="45"/>
      <c r="O146" s="43"/>
      <c r="P146" s="44"/>
      <c r="Q146" s="44"/>
      <c r="R146" s="44">
        <f t="shared" si="36"/>
        <v>0</v>
      </c>
      <c r="S146" s="44">
        <f>(R145-R146)/2</f>
        <v>0</v>
      </c>
      <c r="T146" s="45"/>
      <c r="U146" s="43"/>
      <c r="V146" s="44"/>
      <c r="W146" s="44"/>
      <c r="X146" s="44">
        <f t="shared" si="37"/>
        <v>0</v>
      </c>
      <c r="Y146" s="44">
        <f>(X145-X146)/2</f>
        <v>0</v>
      </c>
      <c r="Z146" s="45"/>
      <c r="AA146" s="75"/>
      <c r="AB146" s="59"/>
    </row>
    <row r="147" spans="1:37" ht="12.75" customHeight="1">
      <c r="A147" s="15">
        <v>16</v>
      </c>
      <c r="B147" s="16">
        <v>26</v>
      </c>
      <c r="C147" s="38">
        <v>-0.015</v>
      </c>
      <c r="D147" s="39">
        <v>-0.016</v>
      </c>
      <c r="E147" s="39">
        <v>-0.016</v>
      </c>
      <c r="F147" s="39">
        <f t="shared" si="34"/>
        <v>-0.015666666666666666</v>
      </c>
      <c r="G147" s="40"/>
      <c r="H147" s="41"/>
      <c r="I147" s="38">
        <v>0.003</v>
      </c>
      <c r="J147" s="39">
        <v>0.002</v>
      </c>
      <c r="K147" s="39">
        <v>0.002</v>
      </c>
      <c r="L147" s="39">
        <f t="shared" si="35"/>
        <v>0.0023333333333333335</v>
      </c>
      <c r="M147" s="40"/>
      <c r="N147" s="41"/>
      <c r="O147" s="42"/>
      <c r="P147" s="40"/>
      <c r="Q147" s="40"/>
      <c r="R147" s="39">
        <f t="shared" si="36"/>
        <v>0</v>
      </c>
      <c r="S147" s="40"/>
      <c r="T147" s="41"/>
      <c r="U147" s="42"/>
      <c r="V147" s="40"/>
      <c r="W147" s="40"/>
      <c r="X147" s="39">
        <f t="shared" si="37"/>
        <v>0</v>
      </c>
      <c r="Y147" s="40"/>
      <c r="Z147" s="41"/>
      <c r="AA147" s="74"/>
      <c r="AB147" s="59">
        <f aca="true" t="shared" si="38" ref="AB147:AB181">G148</f>
        <v>-0.011833333333333333</v>
      </c>
      <c r="AC147" s="55">
        <f t="shared" si="32"/>
        <v>-0.012</v>
      </c>
      <c r="AD147" s="55">
        <f t="shared" si="33"/>
        <v>-0.0016666666666666668</v>
      </c>
      <c r="AE147" s="55">
        <f>IF(G148=0,999,G148)</f>
        <v>-0.011833333333333333</v>
      </c>
      <c r="AF147" s="55">
        <f>IF(M148=0,999,M148)</f>
        <v>-0.0016666666666666668</v>
      </c>
      <c r="AG147" s="55">
        <f>IF(S148=0,999,S148)</f>
        <v>999</v>
      </c>
      <c r="AH147" s="55">
        <f>IF(Y148=0,999,Y148)</f>
        <v>999</v>
      </c>
      <c r="AI147" s="55">
        <f>MIN(ABS(AE147),ABS(AF147),ABS(AG147),ABS(AH147))</f>
        <v>0.0016666666666666668</v>
      </c>
      <c r="AJ147" t="e">
        <f>MATCH(AI147,AE147:AH147,0)</f>
        <v>#N/A</v>
      </c>
      <c r="AK147" t="b">
        <f>ISNA(AJ147)</f>
        <v>1</v>
      </c>
    </row>
    <row r="148" spans="1:28" ht="12.75" customHeight="1">
      <c r="A148" s="17">
        <v>26</v>
      </c>
      <c r="B148" s="18">
        <v>16</v>
      </c>
      <c r="C148" s="43">
        <v>0.008</v>
      </c>
      <c r="D148" s="44">
        <v>0.008</v>
      </c>
      <c r="E148" s="44">
        <v>0.008</v>
      </c>
      <c r="F148" s="44">
        <f t="shared" si="34"/>
        <v>0.008</v>
      </c>
      <c r="G148" s="44">
        <f>(F147-F148)/2</f>
        <v>-0.011833333333333333</v>
      </c>
      <c r="H148" s="45">
        <v>-0.012</v>
      </c>
      <c r="I148" s="43">
        <v>0.008</v>
      </c>
      <c r="J148" s="44">
        <v>0.006</v>
      </c>
      <c r="K148" s="44">
        <v>0.003</v>
      </c>
      <c r="L148" s="44">
        <f t="shared" si="35"/>
        <v>0.005666666666666667</v>
      </c>
      <c r="M148" s="44">
        <f>(L147-L148)/2</f>
        <v>-0.0016666666666666668</v>
      </c>
      <c r="N148" s="45"/>
      <c r="O148" s="43"/>
      <c r="P148" s="44"/>
      <c r="Q148" s="44"/>
      <c r="R148" s="44">
        <f t="shared" si="36"/>
        <v>0</v>
      </c>
      <c r="S148" s="44">
        <f>(R147-R148)/2</f>
        <v>0</v>
      </c>
      <c r="T148" s="45"/>
      <c r="U148" s="43"/>
      <c r="V148" s="44"/>
      <c r="W148" s="44"/>
      <c r="X148" s="44">
        <f t="shared" si="37"/>
        <v>0</v>
      </c>
      <c r="Y148" s="44">
        <f>(X147-X148)/2</f>
        <v>0</v>
      </c>
      <c r="Z148" s="45"/>
      <c r="AA148" s="75"/>
      <c r="AB148" s="59"/>
    </row>
    <row r="149" spans="1:37" ht="12.75" customHeight="1">
      <c r="A149" s="15">
        <v>7</v>
      </c>
      <c r="B149" s="16">
        <v>16</v>
      </c>
      <c r="C149" s="38">
        <v>-0.008</v>
      </c>
      <c r="D149" s="39">
        <v>-0.008</v>
      </c>
      <c r="E149" s="39">
        <v>-0.008</v>
      </c>
      <c r="F149" s="39">
        <f t="shared" si="34"/>
        <v>-0.008</v>
      </c>
      <c r="G149" s="40"/>
      <c r="H149" s="41"/>
      <c r="I149" s="38"/>
      <c r="J149" s="39"/>
      <c r="K149" s="39"/>
      <c r="L149" s="39">
        <f t="shared" si="35"/>
        <v>0</v>
      </c>
      <c r="M149" s="40"/>
      <c r="N149" s="41"/>
      <c r="O149" s="42"/>
      <c r="P149" s="40"/>
      <c r="Q149" s="40"/>
      <c r="R149" s="39">
        <f t="shared" si="36"/>
        <v>0</v>
      </c>
      <c r="S149" s="40"/>
      <c r="T149" s="41"/>
      <c r="U149" s="42"/>
      <c r="V149" s="40"/>
      <c r="W149" s="40"/>
      <c r="X149" s="39">
        <f t="shared" si="37"/>
        <v>0</v>
      </c>
      <c r="Y149" s="40"/>
      <c r="Z149" s="41"/>
      <c r="AA149" s="74"/>
      <c r="AB149" s="59">
        <f t="shared" si="38"/>
        <v>-0.004333333333333333</v>
      </c>
      <c r="AC149" s="55">
        <f t="shared" si="32"/>
        <v>0</v>
      </c>
      <c r="AD149" s="55">
        <f t="shared" si="33"/>
        <v>-0.004333333333333333</v>
      </c>
      <c r="AE149" s="55">
        <f>IF(G150=0,999,G150)</f>
        <v>-0.004333333333333333</v>
      </c>
      <c r="AF149" s="55">
        <f>IF(M150=0,999,M150)</f>
        <v>999</v>
      </c>
      <c r="AG149" s="55">
        <f>IF(S150=0,999,S150)</f>
        <v>999</v>
      </c>
      <c r="AH149" s="55">
        <f>IF(Y150=0,999,Y150)</f>
        <v>999</v>
      </c>
      <c r="AI149" s="55">
        <f>MIN(ABS(AE149),ABS(AF149),ABS(AG149),ABS(AH149))</f>
        <v>0.004333333333333333</v>
      </c>
      <c r="AJ149" t="e">
        <f>MATCH(AI149,AE149:AH149,0)</f>
        <v>#N/A</v>
      </c>
      <c r="AK149" t="b">
        <f>ISNA(AJ149)</f>
        <v>1</v>
      </c>
    </row>
    <row r="150" spans="1:28" ht="12.75" customHeight="1">
      <c r="A150" s="17">
        <v>16</v>
      </c>
      <c r="B150" s="18">
        <v>7</v>
      </c>
      <c r="C150" s="43">
        <v>0.001</v>
      </c>
      <c r="D150" s="44">
        <v>0.001</v>
      </c>
      <c r="E150" s="44">
        <v>0</v>
      </c>
      <c r="F150" s="44">
        <f t="shared" si="34"/>
        <v>0.0006666666666666666</v>
      </c>
      <c r="G150" s="44">
        <f>(F149-F150)/2</f>
        <v>-0.004333333333333333</v>
      </c>
      <c r="H150" s="45"/>
      <c r="I150" s="43"/>
      <c r="J150" s="44"/>
      <c r="K150" s="44"/>
      <c r="L150" s="44">
        <f t="shared" si="35"/>
        <v>0</v>
      </c>
      <c r="M150" s="44">
        <f>(L149-L150)/2</f>
        <v>0</v>
      </c>
      <c r="N150" s="45"/>
      <c r="O150" s="43"/>
      <c r="P150" s="44"/>
      <c r="Q150" s="44"/>
      <c r="R150" s="44">
        <f t="shared" si="36"/>
        <v>0</v>
      </c>
      <c r="S150" s="44">
        <f>(R149-R150)/2</f>
        <v>0</v>
      </c>
      <c r="T150" s="45"/>
      <c r="U150" s="43"/>
      <c r="V150" s="44"/>
      <c r="W150" s="44"/>
      <c r="X150" s="44">
        <f t="shared" si="37"/>
        <v>0</v>
      </c>
      <c r="Y150" s="44">
        <f>(X149-X150)/2</f>
        <v>0</v>
      </c>
      <c r="Z150" s="45"/>
      <c r="AA150" s="75"/>
      <c r="AB150" s="59"/>
    </row>
    <row r="151" spans="1:37" ht="12.75" customHeight="1">
      <c r="A151" s="15">
        <v>3</v>
      </c>
      <c r="B151" s="16">
        <v>11</v>
      </c>
      <c r="C151" s="38">
        <v>0.005</v>
      </c>
      <c r="D151" s="39">
        <v>0.005</v>
      </c>
      <c r="E151" s="39">
        <v>0.005</v>
      </c>
      <c r="F151" s="39">
        <f t="shared" si="34"/>
        <v>0.005</v>
      </c>
      <c r="G151" s="40"/>
      <c r="H151" s="41"/>
      <c r="I151" s="38"/>
      <c r="J151" s="39"/>
      <c r="K151" s="39"/>
      <c r="L151" s="39">
        <f t="shared" si="35"/>
        <v>0</v>
      </c>
      <c r="M151" s="40"/>
      <c r="N151" s="41"/>
      <c r="O151" s="42"/>
      <c r="P151" s="40"/>
      <c r="Q151" s="40"/>
      <c r="R151" s="39">
        <f t="shared" si="36"/>
        <v>0</v>
      </c>
      <c r="S151" s="40"/>
      <c r="T151" s="41"/>
      <c r="U151" s="42"/>
      <c r="V151" s="40"/>
      <c r="W151" s="40"/>
      <c r="X151" s="39">
        <f t="shared" si="37"/>
        <v>0</v>
      </c>
      <c r="Y151" s="40"/>
      <c r="Z151" s="41"/>
      <c r="AA151" s="74"/>
      <c r="AB151" s="59">
        <f t="shared" si="38"/>
        <v>0.006833333333333334</v>
      </c>
      <c r="AC151" s="55">
        <f t="shared" si="32"/>
        <v>0</v>
      </c>
      <c r="AD151" s="55">
        <f t="shared" si="33"/>
        <v>0.006833333333333334</v>
      </c>
      <c r="AE151" s="55">
        <f>IF(G152=0,999,G152)</f>
        <v>0.006833333333333334</v>
      </c>
      <c r="AF151" s="55">
        <f>IF(M152=0,999,M152)</f>
        <v>999</v>
      </c>
      <c r="AG151" s="55">
        <f>IF(S152=0,999,S152)</f>
        <v>999</v>
      </c>
      <c r="AH151" s="55">
        <f>IF(Y152=0,999,Y152)</f>
        <v>999</v>
      </c>
      <c r="AI151" s="55">
        <f>MIN(ABS(AE151),ABS(AF151),ABS(AG151),ABS(AH151))</f>
        <v>0.006833333333333334</v>
      </c>
      <c r="AJ151">
        <f>MATCH(AI151,AE151:AH151,0)</f>
        <v>1</v>
      </c>
      <c r="AK151" t="b">
        <f>ISNA(AJ151)</f>
        <v>0</v>
      </c>
    </row>
    <row r="152" spans="1:28" ht="12.75" customHeight="1">
      <c r="A152" s="17">
        <v>11</v>
      </c>
      <c r="B152" s="18">
        <v>3</v>
      </c>
      <c r="C152" s="43">
        <v>-0.008</v>
      </c>
      <c r="D152" s="44">
        <v>-0.008</v>
      </c>
      <c r="E152" s="44">
        <v>-0.01</v>
      </c>
      <c r="F152" s="44">
        <f t="shared" si="34"/>
        <v>-0.008666666666666668</v>
      </c>
      <c r="G152" s="44">
        <f>(F151-F152)/2</f>
        <v>0.006833333333333334</v>
      </c>
      <c r="H152" s="45"/>
      <c r="I152" s="43"/>
      <c r="J152" s="44"/>
      <c r="K152" s="44"/>
      <c r="L152" s="44">
        <f t="shared" si="35"/>
        <v>0</v>
      </c>
      <c r="M152" s="44">
        <f>(L151-L152)/2</f>
        <v>0</v>
      </c>
      <c r="N152" s="45"/>
      <c r="O152" s="43"/>
      <c r="P152" s="44"/>
      <c r="Q152" s="44"/>
      <c r="R152" s="44">
        <f t="shared" si="36"/>
        <v>0</v>
      </c>
      <c r="S152" s="44">
        <f>(R151-R152)/2</f>
        <v>0</v>
      </c>
      <c r="T152" s="45"/>
      <c r="U152" s="43"/>
      <c r="V152" s="44"/>
      <c r="W152" s="44"/>
      <c r="X152" s="44">
        <f t="shared" si="37"/>
        <v>0</v>
      </c>
      <c r="Y152" s="44">
        <f>(X151-X152)/2</f>
        <v>0</v>
      </c>
      <c r="Z152" s="45"/>
      <c r="AA152" s="75"/>
      <c r="AB152" s="59"/>
    </row>
    <row r="153" spans="1:37" ht="12.75" customHeight="1">
      <c r="A153" s="15">
        <v>1</v>
      </c>
      <c r="B153" s="16">
        <v>7</v>
      </c>
      <c r="C153" s="38">
        <v>0.006</v>
      </c>
      <c r="D153" s="39">
        <v>0.006</v>
      </c>
      <c r="E153" s="39">
        <v>0.006</v>
      </c>
      <c r="F153" s="39">
        <f t="shared" si="34"/>
        <v>0.006000000000000001</v>
      </c>
      <c r="G153" s="40"/>
      <c r="H153" s="41"/>
      <c r="I153" s="38"/>
      <c r="J153" s="39"/>
      <c r="K153" s="39"/>
      <c r="L153" s="39">
        <f t="shared" si="35"/>
        <v>0</v>
      </c>
      <c r="M153" s="40"/>
      <c r="N153" s="41"/>
      <c r="O153" s="42"/>
      <c r="P153" s="40"/>
      <c r="Q153" s="40"/>
      <c r="R153" s="39">
        <f t="shared" si="36"/>
        <v>0</v>
      </c>
      <c r="S153" s="40"/>
      <c r="T153" s="41"/>
      <c r="U153" s="42"/>
      <c r="V153" s="40"/>
      <c r="W153" s="40"/>
      <c r="X153" s="39">
        <f t="shared" si="37"/>
        <v>0</v>
      </c>
      <c r="Y153" s="40"/>
      <c r="Z153" s="41"/>
      <c r="AA153" s="74"/>
      <c r="AB153" s="59">
        <f t="shared" si="38"/>
        <v>0.008</v>
      </c>
      <c r="AC153" s="55">
        <f t="shared" si="32"/>
        <v>0</v>
      </c>
      <c r="AD153" s="55">
        <f t="shared" si="33"/>
        <v>0.008</v>
      </c>
      <c r="AE153" s="55">
        <f>IF(G154=0,999,G154)</f>
        <v>0.008</v>
      </c>
      <c r="AF153" s="55">
        <f>IF(M154=0,999,M154)</f>
        <v>999</v>
      </c>
      <c r="AG153" s="55">
        <f>IF(S154=0,999,S154)</f>
        <v>999</v>
      </c>
      <c r="AH153" s="55">
        <f>IF(Y154=0,999,Y154)</f>
        <v>999</v>
      </c>
      <c r="AI153" s="55">
        <f>MIN(ABS(AE153),ABS(AF153),ABS(AG153),ABS(AH153))</f>
        <v>0.008</v>
      </c>
      <c r="AJ153">
        <f>MATCH(AI153,AE153:AH153,0)</f>
        <v>1</v>
      </c>
      <c r="AK153" t="b">
        <f>ISNA(AJ153)</f>
        <v>0</v>
      </c>
    </row>
    <row r="154" spans="1:28" ht="12.75" customHeight="1">
      <c r="A154" s="17">
        <v>7</v>
      </c>
      <c r="B154" s="18">
        <v>1</v>
      </c>
      <c r="C154" s="43">
        <v>-0.01</v>
      </c>
      <c r="D154" s="44">
        <v>-0.01</v>
      </c>
      <c r="E154" s="44">
        <v>-0.01</v>
      </c>
      <c r="F154" s="44">
        <f t="shared" si="34"/>
        <v>-0.01</v>
      </c>
      <c r="G154" s="44">
        <f>(F153-F154)/2</f>
        <v>0.008</v>
      </c>
      <c r="H154" s="45"/>
      <c r="I154" s="43"/>
      <c r="J154" s="44"/>
      <c r="K154" s="44"/>
      <c r="L154" s="44">
        <f t="shared" si="35"/>
        <v>0</v>
      </c>
      <c r="M154" s="44">
        <f>(L153-L154)/2</f>
        <v>0</v>
      </c>
      <c r="N154" s="45"/>
      <c r="O154" s="43"/>
      <c r="P154" s="44"/>
      <c r="Q154" s="44"/>
      <c r="R154" s="44">
        <f t="shared" si="36"/>
        <v>0</v>
      </c>
      <c r="S154" s="44">
        <f>(R153-R154)/2</f>
        <v>0</v>
      </c>
      <c r="T154" s="45"/>
      <c r="U154" s="43"/>
      <c r="V154" s="44"/>
      <c r="W154" s="44"/>
      <c r="X154" s="44">
        <f t="shared" si="37"/>
        <v>0</v>
      </c>
      <c r="Y154" s="44">
        <f>(X153-X154)/2</f>
        <v>0</v>
      </c>
      <c r="Z154" s="45"/>
      <c r="AA154" s="75"/>
      <c r="AB154" s="59"/>
    </row>
    <row r="155" spans="1:37" ht="12.75" customHeight="1">
      <c r="A155" s="15">
        <v>14</v>
      </c>
      <c r="B155" s="16">
        <v>23</v>
      </c>
      <c r="C155" s="38">
        <v>0.035</v>
      </c>
      <c r="D155" s="39">
        <v>0.035</v>
      </c>
      <c r="E155" s="39">
        <v>0.035</v>
      </c>
      <c r="F155" s="39">
        <f t="shared" si="34"/>
        <v>0.035</v>
      </c>
      <c r="G155" s="40"/>
      <c r="H155" s="41"/>
      <c r="I155" s="51">
        <v>0.003</v>
      </c>
      <c r="J155" s="53">
        <v>0.003</v>
      </c>
      <c r="K155" s="53">
        <v>0.003</v>
      </c>
      <c r="L155" s="39">
        <f t="shared" si="35"/>
        <v>0.0030000000000000005</v>
      </c>
      <c r="M155" s="40"/>
      <c r="N155" s="41"/>
      <c r="O155" s="42"/>
      <c r="P155" s="40"/>
      <c r="Q155" s="40"/>
      <c r="R155" s="39">
        <f t="shared" si="36"/>
        <v>0</v>
      </c>
      <c r="S155" s="40"/>
      <c r="T155" s="41"/>
      <c r="U155" s="42"/>
      <c r="V155" s="40"/>
      <c r="W155" s="40"/>
      <c r="X155" s="39">
        <f t="shared" si="37"/>
        <v>0</v>
      </c>
      <c r="Y155" s="40"/>
      <c r="Z155" s="41"/>
      <c r="AA155" s="76"/>
      <c r="AB155" s="59">
        <f t="shared" si="38"/>
        <v>0.035</v>
      </c>
      <c r="AC155" s="55">
        <f t="shared" si="32"/>
        <v>0.035</v>
      </c>
      <c r="AD155" s="55">
        <f t="shared" si="33"/>
        <v>-0.0011666666666666663</v>
      </c>
      <c r="AE155" s="55">
        <f>IF(G156=0,999,G156)</f>
        <v>0.035</v>
      </c>
      <c r="AF155" s="55">
        <f>IF(M156=0,999,M156)</f>
        <v>-0.0011666666666666663</v>
      </c>
      <c r="AG155" s="55">
        <f>IF(S156=0,999,S156)</f>
        <v>999</v>
      </c>
      <c r="AH155" s="55">
        <f>IF(Y156=0,999,Y156)</f>
        <v>999</v>
      </c>
      <c r="AI155" s="55">
        <f>MIN(ABS(AE155),ABS(AF155),ABS(AG155),ABS(AH155))</f>
        <v>0.0011666666666666663</v>
      </c>
      <c r="AJ155" t="e">
        <f>MATCH(AI155,AE155:AH155,0)</f>
        <v>#N/A</v>
      </c>
      <c r="AK155" t="b">
        <f>ISNA(AJ155)</f>
        <v>1</v>
      </c>
    </row>
    <row r="156" spans="1:28" ht="12.75" customHeight="1">
      <c r="A156" s="17">
        <v>23</v>
      </c>
      <c r="B156" s="18">
        <v>14</v>
      </c>
      <c r="C156" s="43">
        <v>-0.035</v>
      </c>
      <c r="D156" s="44">
        <v>-0.035</v>
      </c>
      <c r="E156" s="44">
        <v>-0.035</v>
      </c>
      <c r="F156" s="44">
        <f t="shared" si="34"/>
        <v>-0.035</v>
      </c>
      <c r="G156" s="44">
        <f>(F155-F156)/2</f>
        <v>0.035</v>
      </c>
      <c r="H156" s="52">
        <v>0.035</v>
      </c>
      <c r="I156" s="96">
        <v>0.006</v>
      </c>
      <c r="J156" s="54">
        <v>0.005</v>
      </c>
      <c r="K156" s="54">
        <v>0.005</v>
      </c>
      <c r="L156" s="44">
        <f t="shared" si="35"/>
        <v>0.005333333333333333</v>
      </c>
      <c r="M156" s="44">
        <f>(L155-L156)/2</f>
        <v>-0.0011666666666666663</v>
      </c>
      <c r="N156" s="45"/>
      <c r="O156" s="43"/>
      <c r="P156" s="44"/>
      <c r="Q156" s="44"/>
      <c r="R156" s="44">
        <f t="shared" si="36"/>
        <v>0</v>
      </c>
      <c r="S156" s="44">
        <f>(R155-R156)/2</f>
        <v>0</v>
      </c>
      <c r="T156" s="45"/>
      <c r="U156" s="43"/>
      <c r="V156" s="44"/>
      <c r="W156" s="44"/>
      <c r="X156" s="44">
        <f t="shared" si="37"/>
        <v>0</v>
      </c>
      <c r="Y156" s="44">
        <f>(X155-X156)/2</f>
        <v>0</v>
      </c>
      <c r="Z156" s="45"/>
      <c r="AA156" s="75"/>
      <c r="AB156" s="59"/>
    </row>
    <row r="157" spans="1:37" ht="12.75" customHeight="1">
      <c r="A157" s="15">
        <v>18</v>
      </c>
      <c r="B157" s="16">
        <v>28</v>
      </c>
      <c r="C157" s="38">
        <v>0.003</v>
      </c>
      <c r="D157" s="39">
        <v>0.003</v>
      </c>
      <c r="E157" s="39">
        <v>0.003</v>
      </c>
      <c r="F157" s="39">
        <f t="shared" si="34"/>
        <v>0.0030000000000000005</v>
      </c>
      <c r="G157" s="40"/>
      <c r="H157" s="41"/>
      <c r="I157" s="38">
        <v>-0.003</v>
      </c>
      <c r="J157" s="39">
        <v>-0.003</v>
      </c>
      <c r="K157" s="39">
        <v>-0.003</v>
      </c>
      <c r="L157" s="39">
        <f>SUM(I157:K157)/3</f>
        <v>-0.0030000000000000005</v>
      </c>
      <c r="M157" s="40"/>
      <c r="N157" s="41"/>
      <c r="O157" s="42"/>
      <c r="P157" s="40"/>
      <c r="Q157" s="40"/>
      <c r="R157" s="39">
        <f t="shared" si="36"/>
        <v>0</v>
      </c>
      <c r="S157" s="40"/>
      <c r="T157" s="41"/>
      <c r="U157" s="42"/>
      <c r="V157" s="40"/>
      <c r="W157" s="40"/>
      <c r="X157" s="39">
        <f t="shared" si="37"/>
        <v>0</v>
      </c>
      <c r="Y157" s="40"/>
      <c r="Z157" s="41"/>
      <c r="AA157" s="74"/>
      <c r="AB157" s="59">
        <f t="shared" si="38"/>
        <v>0.011</v>
      </c>
      <c r="AC157" s="55">
        <f t="shared" si="32"/>
        <v>0.011</v>
      </c>
      <c r="AD157" s="55">
        <f t="shared" si="33"/>
        <v>-0.00016666666666666696</v>
      </c>
      <c r="AE157" s="55">
        <f>IF(G158=0,999,G158)</f>
        <v>0.011</v>
      </c>
      <c r="AF157" s="55">
        <f>IF(M158=0,999,M158)</f>
        <v>-0.00016666666666666696</v>
      </c>
      <c r="AG157" s="55">
        <f>IF(S158=0,999,S158)</f>
        <v>999</v>
      </c>
      <c r="AH157" s="55">
        <f>IF(Y158=0,999,Y158)</f>
        <v>999</v>
      </c>
      <c r="AI157" s="55">
        <f>MIN(ABS(AE157),ABS(AF157),ABS(AG157),ABS(AH157))</f>
        <v>0.00016666666666666696</v>
      </c>
      <c r="AJ157" t="e">
        <f>MATCH(AI157,AE157:AH157,0)</f>
        <v>#N/A</v>
      </c>
      <c r="AK157" t="b">
        <f>ISNA(AJ157)</f>
        <v>1</v>
      </c>
    </row>
    <row r="158" spans="1:28" ht="12.75" customHeight="1">
      <c r="A158" s="17">
        <v>28</v>
      </c>
      <c r="B158" s="18">
        <v>18</v>
      </c>
      <c r="C158" s="43">
        <v>-0.019</v>
      </c>
      <c r="D158" s="44">
        <v>-0.019</v>
      </c>
      <c r="E158" s="44">
        <v>-0.019</v>
      </c>
      <c r="F158" s="44">
        <f t="shared" si="34"/>
        <v>-0.019</v>
      </c>
      <c r="G158" s="44">
        <f>(F157-F158)/2</f>
        <v>0.011</v>
      </c>
      <c r="H158" s="45">
        <v>0.011</v>
      </c>
      <c r="I158" s="43">
        <v>-0.002</v>
      </c>
      <c r="J158" s="44">
        <v>-0.003</v>
      </c>
      <c r="K158" s="44">
        <v>-0.003</v>
      </c>
      <c r="L158" s="44">
        <f>SUM(I158:K158)/3</f>
        <v>-0.0026666666666666666</v>
      </c>
      <c r="M158" s="44">
        <f>(L157-L158)/2</f>
        <v>-0.00016666666666666696</v>
      </c>
      <c r="N158" s="45"/>
      <c r="O158" s="43"/>
      <c r="P158" s="44"/>
      <c r="Q158" s="44"/>
      <c r="R158" s="44">
        <f t="shared" si="36"/>
        <v>0</v>
      </c>
      <c r="S158" s="44">
        <f>(R157-R158)/2</f>
        <v>0</v>
      </c>
      <c r="T158" s="45"/>
      <c r="U158" s="43"/>
      <c r="V158" s="44"/>
      <c r="W158" s="44"/>
      <c r="X158" s="44">
        <f t="shared" si="37"/>
        <v>0</v>
      </c>
      <c r="Y158" s="44">
        <f>(X157-X158)/2</f>
        <v>0</v>
      </c>
      <c r="Z158" s="45"/>
      <c r="AA158" s="75"/>
      <c r="AB158" s="59"/>
    </row>
    <row r="159" spans="1:37" ht="12.75" customHeight="1">
      <c r="A159" s="15">
        <v>9</v>
      </c>
      <c r="B159" s="16">
        <v>18</v>
      </c>
      <c r="C159" s="38">
        <v>0.006</v>
      </c>
      <c r="D159" s="39">
        <v>0.006</v>
      </c>
      <c r="E159" s="39">
        <v>0.006</v>
      </c>
      <c r="F159" s="39">
        <f>SUM(C159:E159)/3</f>
        <v>0.006000000000000001</v>
      </c>
      <c r="G159" s="40"/>
      <c r="H159" s="41"/>
      <c r="I159" s="51">
        <v>-0.003</v>
      </c>
      <c r="J159" s="53">
        <v>-0.003</v>
      </c>
      <c r="K159" s="53">
        <v>-0.003</v>
      </c>
      <c r="L159" s="39">
        <f t="shared" si="35"/>
        <v>-0.0030000000000000005</v>
      </c>
      <c r="M159" s="40"/>
      <c r="N159" s="41"/>
      <c r="O159" s="42"/>
      <c r="P159" s="40"/>
      <c r="Q159" s="40"/>
      <c r="R159" s="39">
        <f t="shared" si="36"/>
        <v>0</v>
      </c>
      <c r="S159" s="40"/>
      <c r="T159" s="41"/>
      <c r="U159" s="42"/>
      <c r="V159" s="40"/>
      <c r="W159" s="40"/>
      <c r="X159" s="39">
        <f t="shared" si="37"/>
        <v>0</v>
      </c>
      <c r="Y159" s="40"/>
      <c r="Z159" s="41"/>
      <c r="AA159" s="76"/>
      <c r="AB159" s="59">
        <f t="shared" si="38"/>
        <v>0.0185</v>
      </c>
      <c r="AC159" s="55">
        <f t="shared" si="32"/>
        <v>0.019</v>
      </c>
      <c r="AD159" s="55">
        <f t="shared" si="33"/>
        <v>0.0185</v>
      </c>
      <c r="AE159" s="55">
        <f>IF(G160=0,999,G160)</f>
        <v>0.0185</v>
      </c>
      <c r="AF159" s="55">
        <f>IF(M160=0,999,M160)</f>
        <v>999</v>
      </c>
      <c r="AG159" s="55">
        <f>IF(S160=0,999,S160)</f>
        <v>999</v>
      </c>
      <c r="AH159" s="55">
        <f>IF(Y160=0,999,Y160)</f>
        <v>999</v>
      </c>
      <c r="AI159" s="55">
        <f>MIN(ABS(AE159),ABS(AF159),ABS(AG159),ABS(AH159))</f>
        <v>0.0185</v>
      </c>
      <c r="AJ159">
        <f>MATCH(AI159,AE159:AH159,0)</f>
        <v>1</v>
      </c>
      <c r="AK159" t="b">
        <f>ISNA(AJ159)</f>
        <v>0</v>
      </c>
    </row>
    <row r="160" spans="1:28" ht="12.75" customHeight="1">
      <c r="A160" s="17">
        <v>18</v>
      </c>
      <c r="B160" s="18">
        <v>9</v>
      </c>
      <c r="C160" s="43">
        <v>-0.031</v>
      </c>
      <c r="D160" s="44">
        <v>-0.031</v>
      </c>
      <c r="E160" s="44">
        <v>-0.031</v>
      </c>
      <c r="F160" s="44">
        <f>SUM(C160:E160)/3</f>
        <v>-0.031</v>
      </c>
      <c r="G160" s="44">
        <f>(F159-F160)/2</f>
        <v>0.0185</v>
      </c>
      <c r="H160" s="52">
        <v>0.019</v>
      </c>
      <c r="I160" s="96">
        <v>-0.003</v>
      </c>
      <c r="J160" s="54">
        <v>-0.003</v>
      </c>
      <c r="K160" s="54">
        <v>-0.003</v>
      </c>
      <c r="L160" s="44">
        <f t="shared" si="35"/>
        <v>-0.0030000000000000005</v>
      </c>
      <c r="M160" s="44">
        <f>(L159-L160)/2</f>
        <v>0</v>
      </c>
      <c r="N160" s="98"/>
      <c r="O160" s="43"/>
      <c r="P160" s="44"/>
      <c r="Q160" s="44"/>
      <c r="R160" s="44">
        <f t="shared" si="36"/>
        <v>0</v>
      </c>
      <c r="S160" s="44">
        <f>(R159-R160)/2</f>
        <v>0</v>
      </c>
      <c r="T160" s="45"/>
      <c r="U160" s="43"/>
      <c r="V160" s="44"/>
      <c r="W160" s="44"/>
      <c r="X160" s="44">
        <f t="shared" si="37"/>
        <v>0</v>
      </c>
      <c r="Y160" s="44">
        <f>(X159-X160)/2</f>
        <v>0</v>
      </c>
      <c r="Z160" s="45"/>
      <c r="AA160" s="75"/>
      <c r="AB160" s="59"/>
    </row>
    <row r="161" spans="1:37" ht="12.75" customHeight="1">
      <c r="A161" s="15">
        <v>22</v>
      </c>
      <c r="B161" s="16">
        <v>33</v>
      </c>
      <c r="C161" s="38">
        <v>-0.02</v>
      </c>
      <c r="D161" s="39">
        <v>-0.02</v>
      </c>
      <c r="E161" s="39">
        <v>-0.02</v>
      </c>
      <c r="F161" s="39">
        <f t="shared" si="34"/>
        <v>-0.02</v>
      </c>
      <c r="G161" s="40"/>
      <c r="H161" s="97"/>
      <c r="I161" s="38">
        <v>-0.002</v>
      </c>
      <c r="J161" s="39">
        <v>-0.002</v>
      </c>
      <c r="K161" s="39">
        <v>-0.002</v>
      </c>
      <c r="L161" s="39">
        <f t="shared" si="35"/>
        <v>-0.002</v>
      </c>
      <c r="M161" s="40"/>
      <c r="N161" s="41"/>
      <c r="O161" s="42"/>
      <c r="P161" s="40"/>
      <c r="Q161" s="40"/>
      <c r="R161" s="39">
        <f t="shared" si="36"/>
        <v>0</v>
      </c>
      <c r="S161" s="40"/>
      <c r="T161" s="41"/>
      <c r="U161" s="42"/>
      <c r="V161" s="40"/>
      <c r="W161" s="40"/>
      <c r="X161" s="39">
        <f t="shared" si="37"/>
        <v>0</v>
      </c>
      <c r="Y161" s="40"/>
      <c r="Z161" s="41"/>
      <c r="AA161" s="74"/>
      <c r="AB161" s="59">
        <f t="shared" si="38"/>
        <v>-0.013666666666666667</v>
      </c>
      <c r="AC161" s="55">
        <f t="shared" si="32"/>
        <v>-0.014</v>
      </c>
      <c r="AD161" s="55">
        <f t="shared" si="33"/>
        <v>0.0005000000000000002</v>
      </c>
      <c r="AE161" s="55">
        <f>IF(G162=0,999,G162)</f>
        <v>-0.013666666666666667</v>
      </c>
      <c r="AF161" s="55">
        <f>IF(M162=0,999,M162)</f>
        <v>0.0005000000000000002</v>
      </c>
      <c r="AG161" s="55">
        <f>IF(S162=0,999,S162)</f>
        <v>999</v>
      </c>
      <c r="AH161" s="55">
        <f>IF(Y162=0,999,Y162)</f>
        <v>999</v>
      </c>
      <c r="AI161" s="55">
        <f>MIN(ABS(AE161),ABS(AF161),ABS(AG161),ABS(AH161))</f>
        <v>0.0005000000000000002</v>
      </c>
      <c r="AJ161">
        <f>MATCH(AI161,AE161:AH161,0)</f>
        <v>2</v>
      </c>
      <c r="AK161" t="b">
        <f>ISNA(AJ161)</f>
        <v>0</v>
      </c>
    </row>
    <row r="162" spans="1:28" ht="12.75" customHeight="1">
      <c r="A162" s="17">
        <v>33</v>
      </c>
      <c r="B162" s="18">
        <v>22</v>
      </c>
      <c r="C162" s="43">
        <v>0.008</v>
      </c>
      <c r="D162" s="44">
        <v>0.007</v>
      </c>
      <c r="E162" s="44">
        <v>0.007</v>
      </c>
      <c r="F162" s="44">
        <f t="shared" si="34"/>
        <v>0.007333333333333333</v>
      </c>
      <c r="G162" s="44">
        <f>(F161-F162)/2</f>
        <v>-0.013666666666666667</v>
      </c>
      <c r="H162" s="45">
        <v>-0.014</v>
      </c>
      <c r="I162" s="43">
        <v>-0.003</v>
      </c>
      <c r="J162" s="44">
        <v>-0.003</v>
      </c>
      <c r="K162" s="44">
        <v>-0.003</v>
      </c>
      <c r="L162" s="44">
        <f t="shared" si="35"/>
        <v>-0.0030000000000000005</v>
      </c>
      <c r="M162" s="44">
        <f>(L161-L162)/2</f>
        <v>0.0005000000000000002</v>
      </c>
      <c r="N162" s="45"/>
      <c r="O162" s="43"/>
      <c r="P162" s="44"/>
      <c r="Q162" s="44"/>
      <c r="R162" s="44">
        <f t="shared" si="36"/>
        <v>0</v>
      </c>
      <c r="S162" s="44">
        <f>(R161-R162)/2</f>
        <v>0</v>
      </c>
      <c r="T162" s="45"/>
      <c r="U162" s="43"/>
      <c r="V162" s="44"/>
      <c r="W162" s="44"/>
      <c r="X162" s="44">
        <f t="shared" si="37"/>
        <v>0</v>
      </c>
      <c r="Y162" s="44">
        <f>(X161-X162)/2</f>
        <v>0</v>
      </c>
      <c r="Z162" s="45"/>
      <c r="AA162" s="75"/>
      <c r="AB162" s="59"/>
    </row>
    <row r="163" spans="1:37" ht="12.75" customHeight="1">
      <c r="A163" s="15">
        <v>13</v>
      </c>
      <c r="B163" s="16">
        <v>22</v>
      </c>
      <c r="C163" s="51">
        <v>0.003</v>
      </c>
      <c r="D163" s="53">
        <v>0.003</v>
      </c>
      <c r="E163" s="53">
        <v>0.003</v>
      </c>
      <c r="F163" s="39">
        <f t="shared" si="34"/>
        <v>0.0030000000000000005</v>
      </c>
      <c r="G163" s="40"/>
      <c r="H163" s="41"/>
      <c r="I163" s="38"/>
      <c r="J163" s="39"/>
      <c r="K163" s="39"/>
      <c r="L163" s="39">
        <f t="shared" si="35"/>
        <v>0</v>
      </c>
      <c r="M163" s="40"/>
      <c r="N163" s="41"/>
      <c r="O163" s="42"/>
      <c r="P163" s="40"/>
      <c r="Q163" s="40"/>
      <c r="R163" s="39">
        <f t="shared" si="36"/>
        <v>0</v>
      </c>
      <c r="S163" s="40"/>
      <c r="T163" s="41"/>
      <c r="U163" s="42"/>
      <c r="V163" s="40"/>
      <c r="W163" s="40"/>
      <c r="X163" s="39">
        <f t="shared" si="37"/>
        <v>0</v>
      </c>
      <c r="Y163" s="40"/>
      <c r="Z163" s="41"/>
      <c r="AA163" s="74"/>
      <c r="AB163" s="59">
        <f t="shared" si="38"/>
        <v>0.001666666666666667</v>
      </c>
      <c r="AC163" s="55">
        <f t="shared" si="32"/>
        <v>0</v>
      </c>
      <c r="AD163" s="55">
        <f t="shared" si="33"/>
        <v>0.001666666666666667</v>
      </c>
      <c r="AE163" s="55">
        <f>IF(G164=0,999,G164)</f>
        <v>0.001666666666666667</v>
      </c>
      <c r="AF163" s="55">
        <f>IF(M164=0,999,M164)</f>
        <v>999</v>
      </c>
      <c r="AG163" s="55">
        <f>IF(S164=0,999,S164)</f>
        <v>999</v>
      </c>
      <c r="AH163" s="55">
        <f>IF(Y164=0,999,Y164)</f>
        <v>999</v>
      </c>
      <c r="AI163" s="55">
        <f>MIN(ABS(AE163),ABS(AF163),ABS(AG163),ABS(AH163))</f>
        <v>0.001666666666666667</v>
      </c>
      <c r="AJ163">
        <f>MATCH(AI163,AE163:AH163,0)</f>
        <v>1</v>
      </c>
      <c r="AK163" t="b">
        <f>ISNA(AJ163)</f>
        <v>0</v>
      </c>
    </row>
    <row r="164" spans="1:28" ht="12.75" customHeight="1">
      <c r="A164" s="17">
        <v>22</v>
      </c>
      <c r="B164" s="18">
        <v>13</v>
      </c>
      <c r="C164" s="43">
        <v>0</v>
      </c>
      <c r="D164" s="44">
        <v>0</v>
      </c>
      <c r="E164" s="44">
        <v>-0.001</v>
      </c>
      <c r="F164" s="44">
        <f t="shared" si="34"/>
        <v>-0.0003333333333333333</v>
      </c>
      <c r="G164" s="44">
        <f>(F163-F164)/2</f>
        <v>0.001666666666666667</v>
      </c>
      <c r="H164" s="45"/>
      <c r="I164" s="43"/>
      <c r="J164" s="44"/>
      <c r="K164" s="44"/>
      <c r="L164" s="44">
        <f t="shared" si="35"/>
        <v>0</v>
      </c>
      <c r="M164" s="44">
        <f>(L163-L164)/2</f>
        <v>0</v>
      </c>
      <c r="N164" s="45"/>
      <c r="O164" s="43"/>
      <c r="P164" s="44"/>
      <c r="Q164" s="44"/>
      <c r="R164" s="44">
        <f t="shared" si="36"/>
        <v>0</v>
      </c>
      <c r="S164" s="44">
        <f>(R163-R164)/2</f>
        <v>0</v>
      </c>
      <c r="T164" s="45"/>
      <c r="U164" s="43"/>
      <c r="V164" s="44"/>
      <c r="W164" s="44"/>
      <c r="X164" s="44">
        <f t="shared" si="37"/>
        <v>0</v>
      </c>
      <c r="Y164" s="44">
        <f>(X163-X164)/2</f>
        <v>0</v>
      </c>
      <c r="Z164" s="45"/>
      <c r="AA164" s="75"/>
      <c r="AB164" s="59"/>
    </row>
    <row r="165" spans="1:37" ht="12.75" customHeight="1">
      <c r="A165" s="15">
        <v>5</v>
      </c>
      <c r="B165" s="16">
        <v>13</v>
      </c>
      <c r="C165" s="51">
        <v>0.01</v>
      </c>
      <c r="D165" s="53">
        <v>0.01</v>
      </c>
      <c r="E165" s="53">
        <v>0.01</v>
      </c>
      <c r="F165" s="39">
        <f t="shared" si="34"/>
        <v>0.01</v>
      </c>
      <c r="G165" s="40"/>
      <c r="H165" s="41"/>
      <c r="I165" s="51">
        <v>-0.006</v>
      </c>
      <c r="J165" s="39">
        <v>-0.006</v>
      </c>
      <c r="K165" s="39">
        <v>-0.006</v>
      </c>
      <c r="L165" s="39">
        <f t="shared" si="35"/>
        <v>-0.006000000000000001</v>
      </c>
      <c r="M165" s="40"/>
      <c r="N165" s="41"/>
      <c r="O165" s="42"/>
      <c r="P165" s="40"/>
      <c r="Q165" s="40"/>
      <c r="R165" s="39">
        <f t="shared" si="36"/>
        <v>0</v>
      </c>
      <c r="S165" s="40"/>
      <c r="T165" s="41"/>
      <c r="U165" s="42"/>
      <c r="V165" s="40"/>
      <c r="W165" s="40"/>
      <c r="X165" s="39">
        <f t="shared" si="37"/>
        <v>0</v>
      </c>
      <c r="Y165" s="40"/>
      <c r="Z165" s="41"/>
      <c r="AA165" s="74"/>
      <c r="AB165" s="59">
        <f t="shared" si="38"/>
        <v>0.015333333333333334</v>
      </c>
      <c r="AC165" s="55">
        <f t="shared" si="32"/>
        <v>0.015</v>
      </c>
      <c r="AD165" s="55">
        <f t="shared" si="33"/>
        <v>0.0004999999999999996</v>
      </c>
      <c r="AE165" s="55">
        <f>IF(G166=0,999,G166)</f>
        <v>0.015333333333333334</v>
      </c>
      <c r="AF165" s="55">
        <f>IF(M166=0,999,M166)</f>
        <v>0.0004999999999999996</v>
      </c>
      <c r="AG165" s="55">
        <f>IF(S166=0,999,S166)</f>
        <v>999</v>
      </c>
      <c r="AH165" s="55">
        <f>IF(Y166=0,999,Y166)</f>
        <v>999</v>
      </c>
      <c r="AI165" s="55">
        <f>MIN(ABS(AE165),ABS(AF165),ABS(AG165),ABS(AH165))</f>
        <v>0.0004999999999999996</v>
      </c>
      <c r="AJ165">
        <f>MATCH(AI165,AE165:AH165,0)</f>
        <v>2</v>
      </c>
      <c r="AK165" t="b">
        <f>ISNA(AJ165)</f>
        <v>0</v>
      </c>
    </row>
    <row r="166" spans="1:28" ht="12.75" customHeight="1">
      <c r="A166" s="17">
        <v>13</v>
      </c>
      <c r="B166" s="18">
        <v>5</v>
      </c>
      <c r="C166" s="43">
        <v>-0.02</v>
      </c>
      <c r="D166" s="44">
        <v>-0.021</v>
      </c>
      <c r="E166" s="44">
        <v>-0.021</v>
      </c>
      <c r="F166" s="44">
        <f t="shared" si="34"/>
        <v>-0.020666666666666667</v>
      </c>
      <c r="G166" s="44">
        <f>(F165-F166)/2</f>
        <v>0.015333333333333334</v>
      </c>
      <c r="H166" s="45">
        <v>0.015</v>
      </c>
      <c r="I166" s="43">
        <v>-0.007</v>
      </c>
      <c r="J166" s="44">
        <v>-0.007</v>
      </c>
      <c r="K166" s="44">
        <v>-0.007</v>
      </c>
      <c r="L166" s="44">
        <f t="shared" si="35"/>
        <v>-0.007</v>
      </c>
      <c r="M166" s="44">
        <f>(L165-L166)/2</f>
        <v>0.0004999999999999996</v>
      </c>
      <c r="N166" s="45"/>
      <c r="O166" s="43"/>
      <c r="P166" s="44"/>
      <c r="Q166" s="44"/>
      <c r="R166" s="44">
        <f t="shared" si="36"/>
        <v>0</v>
      </c>
      <c r="S166" s="44">
        <f>(R165-R166)/2</f>
        <v>0</v>
      </c>
      <c r="T166" s="45"/>
      <c r="U166" s="43"/>
      <c r="V166" s="44"/>
      <c r="W166" s="44"/>
      <c r="X166" s="44">
        <f t="shared" si="37"/>
        <v>0</v>
      </c>
      <c r="Y166" s="44">
        <f>(X165-X166)/2</f>
        <v>0</v>
      </c>
      <c r="Z166" s="45"/>
      <c r="AA166" s="75"/>
      <c r="AB166" s="59"/>
    </row>
    <row r="167" spans="1:37" ht="12.75" customHeight="1">
      <c r="A167" s="15">
        <v>27</v>
      </c>
      <c r="B167" s="16">
        <v>38</v>
      </c>
      <c r="C167" s="38">
        <v>-0.025</v>
      </c>
      <c r="D167" s="39">
        <v>-0.026</v>
      </c>
      <c r="E167" s="39">
        <v>-0.027</v>
      </c>
      <c r="F167" s="39">
        <f t="shared" si="34"/>
        <v>-0.026</v>
      </c>
      <c r="G167" s="40"/>
      <c r="H167" s="41"/>
      <c r="I167" s="38">
        <v>-0.006</v>
      </c>
      <c r="J167" s="39">
        <v>-0.006</v>
      </c>
      <c r="K167" s="39">
        <v>-0.006</v>
      </c>
      <c r="L167" s="39">
        <f t="shared" si="35"/>
        <v>-0.006000000000000001</v>
      </c>
      <c r="M167" s="40"/>
      <c r="N167" s="41"/>
      <c r="O167" s="42"/>
      <c r="P167" s="40"/>
      <c r="Q167" s="40"/>
      <c r="R167" s="39">
        <f t="shared" si="36"/>
        <v>0</v>
      </c>
      <c r="S167" s="40"/>
      <c r="T167" s="41"/>
      <c r="U167" s="42"/>
      <c r="V167" s="40"/>
      <c r="W167" s="40"/>
      <c r="X167" s="39">
        <f t="shared" si="37"/>
        <v>0</v>
      </c>
      <c r="Y167" s="40"/>
      <c r="Z167" s="41"/>
      <c r="AA167" s="74"/>
      <c r="AB167" s="59">
        <f t="shared" si="38"/>
        <v>-0.018</v>
      </c>
      <c r="AC167" s="55">
        <f t="shared" si="32"/>
        <v>-0.018</v>
      </c>
      <c r="AD167" s="55">
        <f t="shared" si="33"/>
        <v>0.0004999999999999996</v>
      </c>
      <c r="AE167" s="55">
        <f>IF(G168=0,999,G168)</f>
        <v>-0.018</v>
      </c>
      <c r="AF167" s="55">
        <f>IF(M168=0,999,M168)</f>
        <v>0.0004999999999999996</v>
      </c>
      <c r="AG167" s="55">
        <f>IF(S168=0,999,S168)</f>
        <v>999</v>
      </c>
      <c r="AH167" s="55">
        <f>IF(Y168=0,999,Y168)</f>
        <v>999</v>
      </c>
      <c r="AI167" s="55">
        <f>MIN(ABS(AE167),ABS(AF167),ABS(AG167),ABS(AH167))</f>
        <v>0.0004999999999999996</v>
      </c>
      <c r="AJ167">
        <f>MATCH(AI167,AE167:AH167,0)</f>
        <v>2</v>
      </c>
      <c r="AK167" t="b">
        <f>ISNA(AJ167)</f>
        <v>0</v>
      </c>
    </row>
    <row r="168" spans="1:28" ht="12.75" customHeight="1">
      <c r="A168" s="17">
        <v>38</v>
      </c>
      <c r="B168" s="18">
        <v>27</v>
      </c>
      <c r="C168" s="43">
        <v>0.01</v>
      </c>
      <c r="D168" s="44">
        <v>0.01</v>
      </c>
      <c r="E168" s="44">
        <v>0.01</v>
      </c>
      <c r="F168" s="44">
        <f t="shared" si="34"/>
        <v>0.01</v>
      </c>
      <c r="G168" s="44">
        <f>(F167-F168)/2</f>
        <v>-0.018</v>
      </c>
      <c r="H168" s="45">
        <v>-0.018</v>
      </c>
      <c r="I168" s="43">
        <v>-0.007</v>
      </c>
      <c r="J168" s="44">
        <v>-0.007</v>
      </c>
      <c r="K168" s="54">
        <v>-0.007</v>
      </c>
      <c r="L168" s="44">
        <f t="shared" si="35"/>
        <v>-0.007</v>
      </c>
      <c r="M168" s="44">
        <f>(L167-L168)/2</f>
        <v>0.0004999999999999996</v>
      </c>
      <c r="N168" s="45"/>
      <c r="O168" s="43"/>
      <c r="P168" s="44"/>
      <c r="Q168" s="44"/>
      <c r="R168" s="44">
        <f t="shared" si="36"/>
        <v>0</v>
      </c>
      <c r="S168" s="44">
        <f>(R167-R168)/2</f>
        <v>0</v>
      </c>
      <c r="T168" s="45"/>
      <c r="U168" s="43"/>
      <c r="V168" s="44"/>
      <c r="W168" s="44"/>
      <c r="X168" s="44">
        <f t="shared" si="37"/>
        <v>0</v>
      </c>
      <c r="Y168" s="44">
        <f>(X167-X168)/2</f>
        <v>0</v>
      </c>
      <c r="Z168" s="45"/>
      <c r="AA168" s="75"/>
      <c r="AB168" s="59"/>
    </row>
    <row r="169" spans="1:37" ht="12.75" customHeight="1">
      <c r="A169" s="15">
        <v>21</v>
      </c>
      <c r="B169" s="16">
        <v>32</v>
      </c>
      <c r="C169" s="38">
        <v>-0.013</v>
      </c>
      <c r="D169" s="39">
        <v>-0.013</v>
      </c>
      <c r="E169" s="39">
        <v>-0.013</v>
      </c>
      <c r="F169" s="39">
        <f aca="true" t="shared" si="39" ref="F169:F182">SUM(C169:E169)/3</f>
        <v>-0.013</v>
      </c>
      <c r="G169" s="40"/>
      <c r="H169" s="41"/>
      <c r="I169" s="38">
        <v>-0.006</v>
      </c>
      <c r="J169" s="39">
        <v>-0.006</v>
      </c>
      <c r="K169" s="39">
        <v>-0.006</v>
      </c>
      <c r="L169" s="39">
        <f t="shared" si="35"/>
        <v>-0.006000000000000001</v>
      </c>
      <c r="M169" s="40"/>
      <c r="N169" s="41"/>
      <c r="O169" s="42"/>
      <c r="P169" s="40"/>
      <c r="Q169" s="40"/>
      <c r="R169" s="39">
        <f t="shared" si="36"/>
        <v>0</v>
      </c>
      <c r="S169" s="40"/>
      <c r="T169" s="41"/>
      <c r="U169" s="42"/>
      <c r="V169" s="40"/>
      <c r="W169" s="40"/>
      <c r="X169" s="39">
        <f t="shared" si="37"/>
        <v>0</v>
      </c>
      <c r="Y169" s="40"/>
      <c r="Z169" s="41"/>
      <c r="AA169" s="74"/>
      <c r="AB169" s="59">
        <f t="shared" si="38"/>
        <v>-0.013</v>
      </c>
      <c r="AC169" s="55">
        <f t="shared" si="32"/>
        <v>-0.013</v>
      </c>
      <c r="AD169" s="55">
        <f t="shared" si="33"/>
        <v>-0.007000000000000001</v>
      </c>
      <c r="AE169" s="55">
        <f>IF(G170=0,999,G170)</f>
        <v>-0.013</v>
      </c>
      <c r="AF169" s="55">
        <f>IF(M170=0,999,M170)</f>
        <v>-0.007000000000000001</v>
      </c>
      <c r="AG169" s="55">
        <f>IF(S170=0,999,S170)</f>
        <v>999</v>
      </c>
      <c r="AH169" s="55">
        <f>IF(Y170=0,999,Y170)</f>
        <v>999</v>
      </c>
      <c r="AI169" s="55">
        <f>MIN(ABS(AE169),ABS(AF169),ABS(AG169),ABS(AH169))</f>
        <v>0.007000000000000001</v>
      </c>
      <c r="AJ169" t="e">
        <f>MATCH(AI169,AE169:AH169,0)</f>
        <v>#N/A</v>
      </c>
      <c r="AK169" t="b">
        <f>ISNA(AJ169)</f>
        <v>1</v>
      </c>
    </row>
    <row r="170" spans="1:28" ht="12.75" customHeight="1">
      <c r="A170" s="17">
        <v>32</v>
      </c>
      <c r="B170" s="18">
        <v>21</v>
      </c>
      <c r="C170" s="43">
        <v>0.013</v>
      </c>
      <c r="D170" s="44">
        <v>0.013</v>
      </c>
      <c r="E170" s="44">
        <v>0.013</v>
      </c>
      <c r="F170" s="44">
        <f t="shared" si="39"/>
        <v>0.013</v>
      </c>
      <c r="G170" s="44">
        <f>(F169-F170)/2</f>
        <v>-0.013</v>
      </c>
      <c r="H170" s="45">
        <v>-0.013</v>
      </c>
      <c r="I170" s="43">
        <v>0.008</v>
      </c>
      <c r="J170" s="44">
        <v>0.008</v>
      </c>
      <c r="K170" s="44">
        <v>0.008</v>
      </c>
      <c r="L170" s="44">
        <f t="shared" si="35"/>
        <v>0.008</v>
      </c>
      <c r="M170" s="44">
        <f>(L169-L170)/2</f>
        <v>-0.007000000000000001</v>
      </c>
      <c r="N170" s="45"/>
      <c r="O170" s="43"/>
      <c r="P170" s="44"/>
      <c r="Q170" s="44"/>
      <c r="R170" s="44">
        <f t="shared" si="36"/>
        <v>0</v>
      </c>
      <c r="S170" s="44">
        <f>(R169-R170)/2</f>
        <v>0</v>
      </c>
      <c r="T170" s="45"/>
      <c r="U170" s="43"/>
      <c r="V170" s="44"/>
      <c r="W170" s="44"/>
      <c r="X170" s="44">
        <f t="shared" si="37"/>
        <v>0</v>
      </c>
      <c r="Y170" s="44">
        <f>(X169-X170)/2</f>
        <v>0</v>
      </c>
      <c r="Z170" s="45"/>
      <c r="AA170" s="75"/>
      <c r="AB170" s="59"/>
    </row>
    <row r="171" spans="1:37" ht="12.75" customHeight="1">
      <c r="A171" s="15">
        <v>17</v>
      </c>
      <c r="B171" s="16">
        <v>27</v>
      </c>
      <c r="C171" s="38">
        <v>-0.022</v>
      </c>
      <c r="D171" s="39">
        <v>-0.022</v>
      </c>
      <c r="E171" s="39">
        <v>-0.022</v>
      </c>
      <c r="F171" s="39">
        <f t="shared" si="39"/>
        <v>-0.022000000000000002</v>
      </c>
      <c r="G171" s="40"/>
      <c r="H171" s="41"/>
      <c r="I171" s="38">
        <v>-0.003</v>
      </c>
      <c r="J171" s="39">
        <v>-0.005</v>
      </c>
      <c r="K171" s="39">
        <v>-0.005</v>
      </c>
      <c r="L171" s="39">
        <f t="shared" si="35"/>
        <v>-0.004333333333333334</v>
      </c>
      <c r="M171" s="40"/>
      <c r="N171" s="41"/>
      <c r="O171" s="42"/>
      <c r="P171" s="40"/>
      <c r="Q171" s="40"/>
      <c r="R171" s="39">
        <f t="shared" si="36"/>
        <v>0</v>
      </c>
      <c r="S171" s="40"/>
      <c r="T171" s="41"/>
      <c r="U171" s="42"/>
      <c r="V171" s="40"/>
      <c r="W171" s="40"/>
      <c r="X171" s="39">
        <f t="shared" si="37"/>
        <v>0</v>
      </c>
      <c r="Y171" s="40"/>
      <c r="Z171" s="41"/>
      <c r="AA171" s="74"/>
      <c r="AB171" s="59">
        <f t="shared" si="38"/>
        <v>-0.018666666666666668</v>
      </c>
      <c r="AC171" s="55">
        <f t="shared" si="32"/>
        <v>-0.019</v>
      </c>
      <c r="AD171" s="55">
        <f t="shared" si="33"/>
        <v>-0.002666666666666667</v>
      </c>
      <c r="AE171" s="55">
        <f>IF(G172=0,999,G172)</f>
        <v>-0.018666666666666668</v>
      </c>
      <c r="AF171" s="55">
        <f>IF(M172=0,999,M172)</f>
        <v>-0.002666666666666667</v>
      </c>
      <c r="AG171" s="55">
        <f>IF(S172=0,999,S172)</f>
        <v>999</v>
      </c>
      <c r="AH171" s="55">
        <f>IF(Y172=0,999,Y172)</f>
        <v>999</v>
      </c>
      <c r="AI171" s="55">
        <f>MIN(ABS(AE171),ABS(AF171),ABS(AG171),ABS(AH171))</f>
        <v>0.002666666666666667</v>
      </c>
      <c r="AJ171" t="e">
        <f>MATCH(AI171,AE171:AH171,0)</f>
        <v>#N/A</v>
      </c>
      <c r="AK171" t="b">
        <f>ISNA(AJ171)</f>
        <v>1</v>
      </c>
    </row>
    <row r="172" spans="1:28" ht="12.75" customHeight="1">
      <c r="A172" s="17">
        <v>27</v>
      </c>
      <c r="B172" s="18">
        <v>17</v>
      </c>
      <c r="C172" s="43">
        <v>0.016</v>
      </c>
      <c r="D172" s="44">
        <v>0.015</v>
      </c>
      <c r="E172" s="44">
        <v>0.015</v>
      </c>
      <c r="F172" s="44">
        <f t="shared" si="39"/>
        <v>0.015333333333333332</v>
      </c>
      <c r="G172" s="44">
        <f>(F171-F172)/2</f>
        <v>-0.018666666666666668</v>
      </c>
      <c r="H172" s="45">
        <v>-0.019</v>
      </c>
      <c r="I172" s="43">
        <v>0.001</v>
      </c>
      <c r="J172" s="44">
        <v>0.001</v>
      </c>
      <c r="K172" s="44">
        <v>0.001</v>
      </c>
      <c r="L172" s="44">
        <f t="shared" si="35"/>
        <v>0.001</v>
      </c>
      <c r="M172" s="44">
        <f>(L171-L172)/2</f>
        <v>-0.002666666666666667</v>
      </c>
      <c r="N172" s="45"/>
      <c r="O172" s="43"/>
      <c r="P172" s="44"/>
      <c r="Q172" s="44"/>
      <c r="R172" s="44">
        <f t="shared" si="36"/>
        <v>0</v>
      </c>
      <c r="S172" s="44">
        <f>(R171-R172)/2</f>
        <v>0</v>
      </c>
      <c r="T172" s="45"/>
      <c r="U172" s="43"/>
      <c r="V172" s="44"/>
      <c r="W172" s="44"/>
      <c r="X172" s="44">
        <f t="shared" si="37"/>
        <v>0</v>
      </c>
      <c r="Y172" s="44">
        <f>(X171-X172)/2</f>
        <v>0</v>
      </c>
      <c r="Z172" s="45"/>
      <c r="AA172" s="75"/>
      <c r="AB172" s="59"/>
    </row>
    <row r="173" spans="1:37" ht="12" customHeight="1">
      <c r="A173" s="15">
        <v>12</v>
      </c>
      <c r="B173" s="16">
        <v>21</v>
      </c>
      <c r="C173" s="51">
        <v>-0.006</v>
      </c>
      <c r="D173" s="53">
        <v>-0.006</v>
      </c>
      <c r="E173" s="53">
        <v>-0.006</v>
      </c>
      <c r="F173" s="39">
        <f t="shared" si="39"/>
        <v>-0.006000000000000001</v>
      </c>
      <c r="G173" s="40"/>
      <c r="H173" s="41"/>
      <c r="I173" s="38"/>
      <c r="J173" s="39"/>
      <c r="K173" s="39"/>
      <c r="L173" s="39">
        <f t="shared" si="35"/>
        <v>0</v>
      </c>
      <c r="M173" s="40"/>
      <c r="N173" s="41"/>
      <c r="O173" s="38"/>
      <c r="P173" s="39"/>
      <c r="Q173" s="39"/>
      <c r="R173" s="39">
        <f aca="true" t="shared" si="40" ref="R173:R182">SUM(O173:Q173)/3</f>
        <v>0</v>
      </c>
      <c r="S173" s="40"/>
      <c r="T173" s="41"/>
      <c r="U173" s="38"/>
      <c r="V173" s="39"/>
      <c r="W173" s="39"/>
      <c r="X173" s="39">
        <f aca="true" t="shared" si="41" ref="X173:X182">SUM(U173:W173)/3</f>
        <v>0</v>
      </c>
      <c r="Y173" s="40"/>
      <c r="Z173" s="41"/>
      <c r="AA173" s="74"/>
      <c r="AB173" s="59">
        <f t="shared" si="38"/>
        <v>-0.006333333333333334</v>
      </c>
      <c r="AC173" s="55">
        <f t="shared" si="32"/>
        <v>0</v>
      </c>
      <c r="AD173" s="55">
        <f t="shared" si="33"/>
        <v>-0.006333333333333334</v>
      </c>
      <c r="AE173" s="55">
        <f>IF(G174=0,999,G174)</f>
        <v>-0.006333333333333334</v>
      </c>
      <c r="AF173" s="55">
        <f>IF(M174=0,999,M174)</f>
        <v>999</v>
      </c>
      <c r="AG173" s="55">
        <f>IF(S174=0,999,S174)</f>
        <v>999</v>
      </c>
      <c r="AH173" s="55">
        <f>IF(Y174=0,999,Y174)</f>
        <v>999</v>
      </c>
      <c r="AI173" s="55">
        <f>MIN(ABS(AE173),ABS(AF173),ABS(AG173),ABS(AH173))</f>
        <v>0.006333333333333334</v>
      </c>
      <c r="AJ173" t="e">
        <f>MATCH(AI173,AE173:AH173,0)</f>
        <v>#N/A</v>
      </c>
      <c r="AK173" t="b">
        <f>ISNA(AJ173)</f>
        <v>1</v>
      </c>
    </row>
    <row r="174" spans="1:28" ht="12.75" customHeight="1">
      <c r="A174" s="17">
        <v>21</v>
      </c>
      <c r="B174" s="18">
        <v>12</v>
      </c>
      <c r="C174" s="43">
        <v>0.007</v>
      </c>
      <c r="D174" s="44">
        <v>0.007</v>
      </c>
      <c r="E174" s="44">
        <v>0.006</v>
      </c>
      <c r="F174" s="44">
        <f t="shared" si="39"/>
        <v>0.006666666666666667</v>
      </c>
      <c r="G174" s="44">
        <f>(F173-F174)/2</f>
        <v>-0.006333333333333334</v>
      </c>
      <c r="H174" s="45"/>
      <c r="I174" s="43"/>
      <c r="J174" s="44"/>
      <c r="K174" s="44"/>
      <c r="L174" s="44">
        <f t="shared" si="35"/>
        <v>0</v>
      </c>
      <c r="M174" s="44">
        <f>(L173-L174)/2</f>
        <v>0</v>
      </c>
      <c r="N174" s="45"/>
      <c r="O174" s="43"/>
      <c r="P174" s="44"/>
      <c r="Q174" s="44"/>
      <c r="R174" s="44">
        <f t="shared" si="40"/>
        <v>0</v>
      </c>
      <c r="S174" s="44">
        <f>(R173-R174)/2</f>
        <v>0</v>
      </c>
      <c r="T174" s="45"/>
      <c r="U174" s="43"/>
      <c r="V174" s="44"/>
      <c r="W174" s="44"/>
      <c r="X174" s="44">
        <f t="shared" si="41"/>
        <v>0</v>
      </c>
      <c r="Y174" s="44">
        <f>(X173-X174)/2</f>
        <v>0</v>
      </c>
      <c r="Z174" s="45"/>
      <c r="AA174" s="75"/>
      <c r="AB174" s="59"/>
    </row>
    <row r="175" spans="1:37" ht="12.75" customHeight="1">
      <c r="A175" s="15">
        <v>8</v>
      </c>
      <c r="B175" s="16">
        <v>17</v>
      </c>
      <c r="C175" s="51">
        <v>-0.017</v>
      </c>
      <c r="D175" s="39">
        <v>-0.016</v>
      </c>
      <c r="E175" s="39">
        <v>-0.016</v>
      </c>
      <c r="F175" s="39">
        <f t="shared" si="39"/>
        <v>-0.016333333333333335</v>
      </c>
      <c r="G175" s="40"/>
      <c r="H175" s="41"/>
      <c r="I175" s="38">
        <v>-0.024</v>
      </c>
      <c r="J175" s="39">
        <v>-0.024</v>
      </c>
      <c r="K175" s="39">
        <v>-0.024</v>
      </c>
      <c r="L175" s="39">
        <f t="shared" si="35"/>
        <v>-0.024000000000000004</v>
      </c>
      <c r="M175" s="40"/>
      <c r="N175" s="41"/>
      <c r="O175" s="42"/>
      <c r="P175" s="40"/>
      <c r="Q175" s="40"/>
      <c r="R175" s="39">
        <f t="shared" si="40"/>
        <v>0</v>
      </c>
      <c r="S175" s="40"/>
      <c r="T175" s="41"/>
      <c r="U175" s="42"/>
      <c r="V175" s="40"/>
      <c r="W175" s="40"/>
      <c r="X175" s="39">
        <f t="shared" si="41"/>
        <v>0</v>
      </c>
      <c r="Y175" s="40"/>
      <c r="Z175" s="41"/>
      <c r="AA175" s="74"/>
      <c r="AB175" s="59">
        <f t="shared" si="38"/>
        <v>-0.009500000000000001</v>
      </c>
      <c r="AC175" s="55">
        <f t="shared" si="32"/>
        <v>-0.01</v>
      </c>
      <c r="AD175" s="55">
        <f t="shared" si="33"/>
        <v>-0.004500000000000002</v>
      </c>
      <c r="AE175" s="55">
        <f>IF(G176=0,999,G176)</f>
        <v>-0.009500000000000001</v>
      </c>
      <c r="AF175" s="55">
        <f>IF(M176=0,999,M176)</f>
        <v>-0.004500000000000002</v>
      </c>
      <c r="AG175" s="55">
        <f>IF(S176=0,999,S176)</f>
        <v>999</v>
      </c>
      <c r="AH175" s="55">
        <f>IF(Y176=0,999,Y176)</f>
        <v>999</v>
      </c>
      <c r="AI175" s="55">
        <f>MIN(ABS(AE175),ABS(AF175),ABS(AG175),ABS(AH175))</f>
        <v>0.004500000000000002</v>
      </c>
      <c r="AJ175" t="e">
        <f>MATCH(AI175,AE175:AH175,0)</f>
        <v>#N/A</v>
      </c>
      <c r="AK175" t="b">
        <f>ISNA(AJ175)</f>
        <v>1</v>
      </c>
    </row>
    <row r="176" spans="1:28" ht="12.75" customHeight="1">
      <c r="A176" s="17">
        <v>17</v>
      </c>
      <c r="B176" s="18">
        <v>8</v>
      </c>
      <c r="C176" s="43">
        <v>0.003</v>
      </c>
      <c r="D176" s="44">
        <v>0.003</v>
      </c>
      <c r="E176" s="44">
        <v>0.002</v>
      </c>
      <c r="F176" s="44">
        <f t="shared" si="39"/>
        <v>0.0026666666666666666</v>
      </c>
      <c r="G176" s="44">
        <f>(F175-F176)/2</f>
        <v>-0.009500000000000001</v>
      </c>
      <c r="H176" s="45">
        <v>-0.01</v>
      </c>
      <c r="I176" s="43">
        <v>-0.015</v>
      </c>
      <c r="J176" s="44">
        <v>-0.015</v>
      </c>
      <c r="K176" s="44">
        <v>-0.015</v>
      </c>
      <c r="L176" s="44">
        <f t="shared" si="35"/>
        <v>-0.015</v>
      </c>
      <c r="M176" s="44">
        <f>(L175-L176)/2</f>
        <v>-0.004500000000000002</v>
      </c>
      <c r="N176" s="45"/>
      <c r="O176" s="43"/>
      <c r="P176" s="44"/>
      <c r="Q176" s="44"/>
      <c r="R176" s="44">
        <f t="shared" si="40"/>
        <v>0</v>
      </c>
      <c r="S176" s="44">
        <f>(R175-R176)/2</f>
        <v>0</v>
      </c>
      <c r="T176" s="45"/>
      <c r="U176" s="43"/>
      <c r="V176" s="44"/>
      <c r="W176" s="44"/>
      <c r="X176" s="44">
        <f t="shared" si="41"/>
        <v>0</v>
      </c>
      <c r="Y176" s="44">
        <f>(X175-X176)/2</f>
        <v>0</v>
      </c>
      <c r="Z176" s="45"/>
      <c r="AA176" s="75"/>
      <c r="AB176" s="59"/>
    </row>
    <row r="177" spans="1:37" ht="12.75" customHeight="1">
      <c r="A177" s="15">
        <v>4</v>
      </c>
      <c r="B177" s="16">
        <v>12</v>
      </c>
      <c r="C177" s="38">
        <v>0.005</v>
      </c>
      <c r="D177" s="39">
        <v>0.003</v>
      </c>
      <c r="E177" s="39">
        <v>0.003</v>
      </c>
      <c r="F177" s="39">
        <f t="shared" si="39"/>
        <v>0.0036666666666666666</v>
      </c>
      <c r="G177" s="40"/>
      <c r="H177" s="41"/>
      <c r="I177" s="38"/>
      <c r="J177" s="39"/>
      <c r="K177" s="39"/>
      <c r="L177" s="39">
        <f t="shared" si="35"/>
        <v>0</v>
      </c>
      <c r="M177" s="40"/>
      <c r="N177" s="41"/>
      <c r="O177" s="42"/>
      <c r="P177" s="40"/>
      <c r="Q177" s="40"/>
      <c r="R177" s="39">
        <f t="shared" si="40"/>
        <v>0</v>
      </c>
      <c r="S177" s="40"/>
      <c r="T177" s="41"/>
      <c r="U177" s="42"/>
      <c r="V177" s="40"/>
      <c r="W177" s="40"/>
      <c r="X177" s="39">
        <f t="shared" si="41"/>
        <v>0</v>
      </c>
      <c r="Y177" s="40"/>
      <c r="Z177" s="41"/>
      <c r="AA177" s="74"/>
      <c r="AB177" s="59">
        <f t="shared" si="38"/>
        <v>0.006833333333333334</v>
      </c>
      <c r="AC177" s="55">
        <f t="shared" si="32"/>
        <v>0</v>
      </c>
      <c r="AD177" s="55">
        <f t="shared" si="33"/>
        <v>0.006833333333333334</v>
      </c>
      <c r="AE177" s="55">
        <f>IF(G178=0,999,G178)</f>
        <v>0.006833333333333334</v>
      </c>
      <c r="AF177" s="55">
        <f>IF(M178=0,999,M178)</f>
        <v>999</v>
      </c>
      <c r="AG177" s="55">
        <f>IF(S178=0,999,S178)</f>
        <v>999</v>
      </c>
      <c r="AH177" s="55">
        <f>IF(Y178=0,999,Y178)</f>
        <v>999</v>
      </c>
      <c r="AI177" s="55">
        <f>MIN(ABS(AE177),ABS(AF177),ABS(AG177),ABS(AH177))</f>
        <v>0.006833333333333334</v>
      </c>
      <c r="AJ177">
        <f>MATCH(AI177,AE177:AH177,0)</f>
        <v>1</v>
      </c>
      <c r="AK177" t="b">
        <f>ISNA(AJ177)</f>
        <v>0</v>
      </c>
    </row>
    <row r="178" spans="1:28" ht="12.75" customHeight="1">
      <c r="A178" s="17">
        <v>12</v>
      </c>
      <c r="B178" s="18">
        <v>4</v>
      </c>
      <c r="C178" s="43">
        <v>-0.01</v>
      </c>
      <c r="D178" s="44">
        <v>-0.01</v>
      </c>
      <c r="E178" s="44">
        <v>-0.01</v>
      </c>
      <c r="F178" s="44">
        <f t="shared" si="39"/>
        <v>-0.01</v>
      </c>
      <c r="G178" s="44">
        <f>(F177-F178)/2</f>
        <v>0.006833333333333334</v>
      </c>
      <c r="H178" s="45"/>
      <c r="I178" s="43"/>
      <c r="J178" s="44"/>
      <c r="K178" s="44"/>
      <c r="L178" s="44">
        <f t="shared" si="35"/>
        <v>0</v>
      </c>
      <c r="M178" s="44">
        <f>(L177-L178)/2</f>
        <v>0</v>
      </c>
      <c r="N178" s="45"/>
      <c r="O178" s="43"/>
      <c r="P178" s="44"/>
      <c r="Q178" s="44"/>
      <c r="R178" s="44">
        <f t="shared" si="40"/>
        <v>0</v>
      </c>
      <c r="S178" s="44">
        <f>(R177-R178)/2</f>
        <v>0</v>
      </c>
      <c r="T178" s="45"/>
      <c r="U178" s="43"/>
      <c r="V178" s="44"/>
      <c r="W178" s="44"/>
      <c r="X178" s="44">
        <f t="shared" si="41"/>
        <v>0</v>
      </c>
      <c r="Y178" s="44">
        <f>(X177-X178)/2</f>
        <v>0</v>
      </c>
      <c r="Z178" s="45"/>
      <c r="AA178" s="75"/>
      <c r="AB178" s="59"/>
    </row>
    <row r="179" spans="1:37" ht="12.75" customHeight="1">
      <c r="A179" s="15">
        <v>2</v>
      </c>
      <c r="B179" s="16">
        <v>8</v>
      </c>
      <c r="C179" s="38">
        <v>-0.055</v>
      </c>
      <c r="D179" s="39">
        <v>-0.055</v>
      </c>
      <c r="E179" s="39">
        <v>-0.055</v>
      </c>
      <c r="F179" s="39">
        <f t="shared" si="39"/>
        <v>-0.055</v>
      </c>
      <c r="G179" s="40"/>
      <c r="H179" s="41"/>
      <c r="I179" s="38">
        <v>-0.003</v>
      </c>
      <c r="J179" s="39">
        <v>-0.003</v>
      </c>
      <c r="K179" s="39">
        <v>-0.005</v>
      </c>
      <c r="L179" s="39">
        <f t="shared" si="35"/>
        <v>-0.0036666666666666666</v>
      </c>
      <c r="M179" s="40"/>
      <c r="N179" s="41"/>
      <c r="O179" s="38"/>
      <c r="P179" s="39"/>
      <c r="Q179" s="39"/>
      <c r="R179" s="39">
        <f t="shared" si="40"/>
        <v>0</v>
      </c>
      <c r="S179" s="40"/>
      <c r="T179" s="41"/>
      <c r="U179" s="38"/>
      <c r="V179" s="39"/>
      <c r="W179" s="39"/>
      <c r="X179" s="39">
        <f t="shared" si="41"/>
        <v>0</v>
      </c>
      <c r="Y179" s="40"/>
      <c r="Z179" s="41"/>
      <c r="AA179" s="74"/>
      <c r="AB179" s="59">
        <f t="shared" si="38"/>
        <v>-0.05483333333333333</v>
      </c>
      <c r="AC179" s="55">
        <f t="shared" si="32"/>
        <v>-0.055</v>
      </c>
      <c r="AD179" s="55">
        <f t="shared" si="33"/>
        <v>-0.0013333333333333333</v>
      </c>
      <c r="AE179" s="55">
        <f>IF(G180=0,999,G180)</f>
        <v>-0.05483333333333333</v>
      </c>
      <c r="AF179" s="55">
        <f>IF(M180=0,999,M180)</f>
        <v>-0.0013333333333333333</v>
      </c>
      <c r="AG179" s="55">
        <f>IF(S180=0,999,S180)</f>
        <v>999</v>
      </c>
      <c r="AH179" s="55">
        <f>IF(Y180=0,999,Y180)</f>
        <v>999</v>
      </c>
      <c r="AI179" s="55">
        <f>MIN(ABS(AE179),ABS(AF179),ABS(AG179),ABS(AH179))</f>
        <v>0.0013333333333333333</v>
      </c>
      <c r="AJ179" t="e">
        <f>MATCH(AI179,AE179:AH179,0)</f>
        <v>#N/A</v>
      </c>
      <c r="AK179" t="b">
        <f>ISNA(AJ179)</f>
        <v>1</v>
      </c>
    </row>
    <row r="180" spans="1:28" ht="12.75" customHeight="1">
      <c r="A180" s="17">
        <v>8</v>
      </c>
      <c r="B180" s="18">
        <v>2</v>
      </c>
      <c r="C180" s="43">
        <v>0.055</v>
      </c>
      <c r="D180" s="44">
        <v>0.055</v>
      </c>
      <c r="E180" s="44">
        <v>0.054</v>
      </c>
      <c r="F180" s="44">
        <f t="shared" si="39"/>
        <v>0.05466666666666667</v>
      </c>
      <c r="G180" s="44">
        <f>(F179-F180)/2</f>
        <v>-0.05483333333333333</v>
      </c>
      <c r="H180" s="45">
        <v>-0.055</v>
      </c>
      <c r="I180" s="43">
        <v>0</v>
      </c>
      <c r="J180" s="44">
        <v>-0.001</v>
      </c>
      <c r="K180" s="44">
        <v>-0.002</v>
      </c>
      <c r="L180" s="44">
        <f t="shared" si="35"/>
        <v>-0.001</v>
      </c>
      <c r="M180" s="44">
        <f>(L179-L180)/2</f>
        <v>-0.0013333333333333333</v>
      </c>
      <c r="N180" s="45"/>
      <c r="O180" s="43"/>
      <c r="P180" s="44"/>
      <c r="Q180" s="44"/>
      <c r="R180" s="44">
        <f t="shared" si="40"/>
        <v>0</v>
      </c>
      <c r="S180" s="44">
        <f>(R179-R180)/2</f>
        <v>0</v>
      </c>
      <c r="T180" s="45"/>
      <c r="U180" s="43"/>
      <c r="V180" s="44"/>
      <c r="W180" s="44"/>
      <c r="X180" s="44">
        <f t="shared" si="41"/>
        <v>0</v>
      </c>
      <c r="Y180" s="44">
        <f>(X179-X180)/2</f>
        <v>0</v>
      </c>
      <c r="Z180" s="45"/>
      <c r="AA180" s="75"/>
      <c r="AB180" s="59"/>
    </row>
    <row r="181" spans="1:37" ht="12.75" customHeight="1">
      <c r="A181" s="15">
        <v>89</v>
      </c>
      <c r="B181" s="16">
        <v>4</v>
      </c>
      <c r="C181" s="51">
        <v>0.029</v>
      </c>
      <c r="D181" s="53">
        <v>0.027</v>
      </c>
      <c r="E181" s="53">
        <v>0.027</v>
      </c>
      <c r="F181" s="39">
        <f t="shared" si="39"/>
        <v>0.02766666666666667</v>
      </c>
      <c r="G181" s="40"/>
      <c r="H181" s="41"/>
      <c r="I181" s="38">
        <v>-0.013</v>
      </c>
      <c r="J181" s="39">
        <v>-0.012</v>
      </c>
      <c r="K181" s="39">
        <v>-0.012</v>
      </c>
      <c r="L181" s="39">
        <f t="shared" si="35"/>
        <v>-0.012333333333333335</v>
      </c>
      <c r="M181" s="40"/>
      <c r="N181" s="41"/>
      <c r="O181" s="42"/>
      <c r="P181" s="40"/>
      <c r="Q181" s="40"/>
      <c r="R181" s="39">
        <f t="shared" si="40"/>
        <v>0</v>
      </c>
      <c r="S181" s="40"/>
      <c r="T181" s="41"/>
      <c r="U181" s="42"/>
      <c r="V181" s="40"/>
      <c r="W181" s="40"/>
      <c r="X181" s="39">
        <f t="shared" si="41"/>
        <v>0</v>
      </c>
      <c r="Y181" s="40"/>
      <c r="Z181" s="41"/>
      <c r="AA181" s="74"/>
      <c r="AB181" s="59">
        <f t="shared" si="38"/>
        <v>0.026333333333333334</v>
      </c>
      <c r="AC181" s="55">
        <f t="shared" si="32"/>
        <v>0.026</v>
      </c>
      <c r="AD181" s="55">
        <f t="shared" si="33"/>
        <v>-8.673617379884035E-19</v>
      </c>
      <c r="AE181" s="55">
        <f>IF(G182=0,999,G182)</f>
        <v>0.026333333333333334</v>
      </c>
      <c r="AF181" s="55">
        <f>IF(M182=0,999,M182)</f>
        <v>-8.673617379884035E-19</v>
      </c>
      <c r="AG181" s="55">
        <f>IF(S182=0,999,S182)</f>
        <v>999</v>
      </c>
      <c r="AH181" s="55">
        <f>IF(Y182=0,999,Y182)</f>
        <v>999</v>
      </c>
      <c r="AI181" s="55">
        <f>MIN(ABS(AE181),ABS(AF181),ABS(AG181),ABS(AH181))</f>
        <v>8.673617379884035E-19</v>
      </c>
      <c r="AJ181" t="e">
        <f>MATCH(AI181,AE181:AH181,0)</f>
        <v>#N/A</v>
      </c>
      <c r="AK181" t="b">
        <f>ISNA(AJ181)</f>
        <v>1</v>
      </c>
    </row>
    <row r="182" spans="1:28" ht="12.75" customHeight="1">
      <c r="A182" s="17">
        <v>4</v>
      </c>
      <c r="B182" s="18">
        <v>89</v>
      </c>
      <c r="C182" s="43">
        <v>-0.024</v>
      </c>
      <c r="D182" s="44">
        <v>-0.025</v>
      </c>
      <c r="E182" s="44">
        <v>-0.026</v>
      </c>
      <c r="F182" s="44">
        <f t="shared" si="39"/>
        <v>-0.024999999999999998</v>
      </c>
      <c r="G182" s="44">
        <f>(F181-F182)/2</f>
        <v>0.026333333333333334</v>
      </c>
      <c r="H182" s="45">
        <v>0.026</v>
      </c>
      <c r="I182" s="43">
        <v>-0.012</v>
      </c>
      <c r="J182" s="44">
        <v>-0.012</v>
      </c>
      <c r="K182" s="44">
        <v>-0.013</v>
      </c>
      <c r="L182" s="44">
        <f t="shared" si="35"/>
        <v>-0.012333333333333333</v>
      </c>
      <c r="M182" s="44">
        <f>(L181-L182)/2</f>
        <v>-8.673617379884035E-19</v>
      </c>
      <c r="N182" s="45"/>
      <c r="O182" s="43"/>
      <c r="P182" s="44"/>
      <c r="Q182" s="44"/>
      <c r="R182" s="44">
        <f t="shared" si="40"/>
        <v>0</v>
      </c>
      <c r="S182" s="44">
        <f>(R181-R182)/2</f>
        <v>0</v>
      </c>
      <c r="T182" s="45"/>
      <c r="U182" s="43"/>
      <c r="V182" s="44"/>
      <c r="W182" s="44"/>
      <c r="X182" s="44">
        <f t="shared" si="41"/>
        <v>0</v>
      </c>
      <c r="Y182" s="44">
        <f>(X181-X182)/2</f>
        <v>0</v>
      </c>
      <c r="Z182" s="45"/>
      <c r="AA182" s="75"/>
      <c r="AB182" s="59"/>
    </row>
  </sheetData>
  <mergeCells count="94">
    <mergeCell ref="AA77:AA78"/>
    <mergeCell ref="C1:H1"/>
    <mergeCell ref="I1:N1"/>
    <mergeCell ref="O1:T1"/>
    <mergeCell ref="AA5:AA6"/>
    <mergeCell ref="U1:Z1"/>
    <mergeCell ref="AA3:AA4"/>
    <mergeCell ref="AA7:AA8"/>
    <mergeCell ref="AA9:AA10"/>
    <mergeCell ref="AA11:AA12"/>
    <mergeCell ref="AA13:AA14"/>
    <mergeCell ref="AA15:AA16"/>
    <mergeCell ref="AA17:AA18"/>
    <mergeCell ref="AA19:AA20"/>
    <mergeCell ref="AA21:AA22"/>
    <mergeCell ref="AA23:AA24"/>
    <mergeCell ref="AA25:AA26"/>
    <mergeCell ref="AA27:AA28"/>
    <mergeCell ref="AA29:AA30"/>
    <mergeCell ref="AA31:AA32"/>
    <mergeCell ref="AA33:AA34"/>
    <mergeCell ref="AA35:AA36"/>
    <mergeCell ref="AA37:AA38"/>
    <mergeCell ref="AA39:AA40"/>
    <mergeCell ref="AA41:AA42"/>
    <mergeCell ref="AA43:AA44"/>
    <mergeCell ref="AA45:AA46"/>
    <mergeCell ref="AA47:AA48"/>
    <mergeCell ref="AA49:AA50"/>
    <mergeCell ref="AA51:AA52"/>
    <mergeCell ref="AA53:AA54"/>
    <mergeCell ref="AA55:AA56"/>
    <mergeCell ref="AA57:AA58"/>
    <mergeCell ref="AA59:AA60"/>
    <mergeCell ref="AA61:AA62"/>
    <mergeCell ref="AA63:AA64"/>
    <mergeCell ref="AA65:AA66"/>
    <mergeCell ref="AA67:AA68"/>
    <mergeCell ref="AA69:AA70"/>
    <mergeCell ref="AA71:AA72"/>
    <mergeCell ref="AA73:AA74"/>
    <mergeCell ref="AA75:AA76"/>
    <mergeCell ref="AA79:AA80"/>
    <mergeCell ref="AA81:AA82"/>
    <mergeCell ref="AA83:AA84"/>
    <mergeCell ref="AA85:AA86"/>
    <mergeCell ref="AA87:AA88"/>
    <mergeCell ref="AA89:AA90"/>
    <mergeCell ref="AA91:AA92"/>
    <mergeCell ref="AA93:AA94"/>
    <mergeCell ref="AA95:AA96"/>
    <mergeCell ref="AA107:AA108"/>
    <mergeCell ref="AA109:AA110"/>
    <mergeCell ref="AA111:AA112"/>
    <mergeCell ref="AA99:AA100"/>
    <mergeCell ref="AA101:AA102"/>
    <mergeCell ref="AA103:AA104"/>
    <mergeCell ref="AA105:AA106"/>
    <mergeCell ref="AA113:AA114"/>
    <mergeCell ref="AA115:AA116"/>
    <mergeCell ref="AA117:AA118"/>
    <mergeCell ref="AA119:AA120"/>
    <mergeCell ref="AA121:AA122"/>
    <mergeCell ref="AA123:AA124"/>
    <mergeCell ref="AA125:AA126"/>
    <mergeCell ref="AA127:AA128"/>
    <mergeCell ref="AA137:AA138"/>
    <mergeCell ref="AA139:AA140"/>
    <mergeCell ref="AA129:AA130"/>
    <mergeCell ref="AA131:AA132"/>
    <mergeCell ref="AA133:AA134"/>
    <mergeCell ref="AA135:AA136"/>
    <mergeCell ref="AA141:AA142"/>
    <mergeCell ref="AA143:AA144"/>
    <mergeCell ref="AA145:AA146"/>
    <mergeCell ref="AA147:AA148"/>
    <mergeCell ref="AA149:AA150"/>
    <mergeCell ref="AA151:AA152"/>
    <mergeCell ref="AA153:AA154"/>
    <mergeCell ref="AA155:AA156"/>
    <mergeCell ref="AA157:AA158"/>
    <mergeCell ref="AA159:AA160"/>
    <mergeCell ref="AA161:AA162"/>
    <mergeCell ref="AA163:AA164"/>
    <mergeCell ref="AA181:AA182"/>
    <mergeCell ref="AA97:AA98"/>
    <mergeCell ref="AA173:AA174"/>
    <mergeCell ref="AA175:AA176"/>
    <mergeCell ref="AA177:AA178"/>
    <mergeCell ref="AA179:AA180"/>
    <mergeCell ref="AA165:AA166"/>
    <mergeCell ref="AA167:AA168"/>
    <mergeCell ref="AA169:AA170"/>
    <mergeCell ref="AA171:AA172"/>
  </mergeCells>
  <printOptions gridLines="1"/>
  <pageMargins left="0.75" right="0.75" top="1" bottom="1" header="0.511811023" footer="0.51181102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I47"/>
  <sheetViews>
    <sheetView zoomScale="75" zoomScaleNormal="75" workbookViewId="0" topLeftCell="L2">
      <selection activeCell="AD17" sqref="AD17"/>
    </sheetView>
  </sheetViews>
  <sheetFormatPr defaultColWidth="9.140625" defaultRowHeight="12.75"/>
  <cols>
    <col min="2" max="12" width="7.28125" style="0" customWidth="1"/>
    <col min="13" max="13" width="11.421875" style="0" customWidth="1"/>
    <col min="14" max="35" width="5.8515625" style="36" customWidth="1"/>
    <col min="36" max="16384" width="11.421875" style="0" customWidth="1"/>
  </cols>
  <sheetData>
    <row r="2" spans="2:12" ht="12.75">
      <c r="B2" s="22"/>
      <c r="C2" s="22"/>
      <c r="D2" s="22"/>
      <c r="E2" s="22"/>
      <c r="F2" s="22"/>
      <c r="G2" s="90">
        <v>86</v>
      </c>
      <c r="H2" s="22"/>
      <c r="I2" s="22"/>
      <c r="J2" s="22"/>
      <c r="K2" s="22"/>
      <c r="L2" s="22"/>
    </row>
    <row r="3" spans="2:12" ht="12.75">
      <c r="B3" s="22"/>
      <c r="C3" s="22"/>
      <c r="D3" s="22"/>
      <c r="E3" s="22"/>
      <c r="F3" s="90">
        <v>84</v>
      </c>
      <c r="G3" s="90"/>
      <c r="H3" s="90">
        <v>85</v>
      </c>
      <c r="I3" s="22"/>
      <c r="J3" s="22"/>
      <c r="L3" s="22"/>
    </row>
    <row r="4" spans="2:12" ht="12.75">
      <c r="B4" s="22"/>
      <c r="C4" s="22"/>
      <c r="D4" s="22"/>
      <c r="E4" s="89">
        <v>81</v>
      </c>
      <c r="F4" s="90"/>
      <c r="G4" s="90">
        <v>82</v>
      </c>
      <c r="H4" s="90"/>
      <c r="I4" s="90">
        <v>83</v>
      </c>
      <c r="J4" s="22"/>
      <c r="K4" s="22"/>
      <c r="L4" s="22"/>
    </row>
    <row r="5" spans="2:12" ht="12.75">
      <c r="B5" s="22"/>
      <c r="C5" s="22"/>
      <c r="D5" s="90">
        <v>77</v>
      </c>
      <c r="E5" s="89"/>
      <c r="F5" s="90">
        <v>78</v>
      </c>
      <c r="G5" s="90"/>
      <c r="H5" s="90">
        <v>79</v>
      </c>
      <c r="I5" s="90"/>
      <c r="J5" s="88">
        <v>80</v>
      </c>
      <c r="K5" s="22"/>
      <c r="L5" s="22"/>
    </row>
    <row r="6" spans="2:12" ht="12.75">
      <c r="B6" s="22"/>
      <c r="C6" s="90">
        <v>72</v>
      </c>
      <c r="D6" s="90"/>
      <c r="E6" s="89">
        <v>73</v>
      </c>
      <c r="F6" s="90"/>
      <c r="G6" s="90">
        <v>74</v>
      </c>
      <c r="H6" s="90"/>
      <c r="I6" s="90">
        <v>75</v>
      </c>
      <c r="J6" s="88"/>
      <c r="K6" s="90">
        <v>76</v>
      </c>
      <c r="L6" s="22"/>
    </row>
    <row r="7" spans="2:12" ht="12.75">
      <c r="B7" s="90">
        <v>87</v>
      </c>
      <c r="C7" s="90"/>
      <c r="D7" s="90">
        <v>68</v>
      </c>
      <c r="E7" s="89"/>
      <c r="F7" s="90">
        <v>69</v>
      </c>
      <c r="G7" s="90"/>
      <c r="H7" s="90">
        <v>70</v>
      </c>
      <c r="I7" s="90"/>
      <c r="J7" s="88">
        <v>71</v>
      </c>
      <c r="K7" s="90"/>
      <c r="L7" s="90">
        <v>91</v>
      </c>
    </row>
    <row r="8" spans="2:12" ht="12.75">
      <c r="B8" s="90"/>
      <c r="C8" s="90">
        <v>63</v>
      </c>
      <c r="D8" s="90"/>
      <c r="E8" s="89">
        <v>64</v>
      </c>
      <c r="F8" s="90"/>
      <c r="G8" s="90">
        <v>65</v>
      </c>
      <c r="H8" s="90"/>
      <c r="I8" s="90">
        <v>66</v>
      </c>
      <c r="J8" s="88"/>
      <c r="K8" s="90">
        <v>67</v>
      </c>
      <c r="L8" s="90"/>
    </row>
    <row r="9" spans="2:12" ht="12.75">
      <c r="B9" s="90">
        <v>57</v>
      </c>
      <c r="C9" s="90"/>
      <c r="D9" s="90">
        <v>58</v>
      </c>
      <c r="E9" s="89"/>
      <c r="F9" s="90">
        <v>59</v>
      </c>
      <c r="G9" s="90"/>
      <c r="H9" s="90">
        <v>60</v>
      </c>
      <c r="I9" s="90"/>
      <c r="J9" s="88">
        <v>61</v>
      </c>
      <c r="K9" s="90"/>
      <c r="L9" s="90">
        <v>62</v>
      </c>
    </row>
    <row r="10" spans="2:12" ht="12.75">
      <c r="B10" s="90"/>
      <c r="C10" s="90">
        <v>52</v>
      </c>
      <c r="D10" s="90"/>
      <c r="E10" s="89">
        <v>53</v>
      </c>
      <c r="F10" s="90"/>
      <c r="G10" s="90">
        <v>54</v>
      </c>
      <c r="H10" s="90"/>
      <c r="I10" s="90">
        <v>55</v>
      </c>
      <c r="J10" s="88"/>
      <c r="K10" s="90">
        <v>56</v>
      </c>
      <c r="L10" s="90"/>
    </row>
    <row r="11" spans="2:12" ht="12.75">
      <c r="B11" s="90">
        <v>46</v>
      </c>
      <c r="C11" s="90"/>
      <c r="D11" s="90">
        <v>47</v>
      </c>
      <c r="E11" s="89"/>
      <c r="F11" s="90">
        <v>48</v>
      </c>
      <c r="G11" s="90"/>
      <c r="H11" s="90">
        <v>49</v>
      </c>
      <c r="I11" s="90"/>
      <c r="J11" s="88">
        <v>50</v>
      </c>
      <c r="K11" s="90"/>
      <c r="L11" s="90">
        <v>51</v>
      </c>
    </row>
    <row r="12" spans="2:12" ht="12.75">
      <c r="B12" s="90"/>
      <c r="C12" s="90">
        <v>41</v>
      </c>
      <c r="D12" s="90"/>
      <c r="E12" s="89">
        <v>42</v>
      </c>
      <c r="F12" s="90"/>
      <c r="G12" s="90">
        <v>43</v>
      </c>
      <c r="H12" s="90"/>
      <c r="I12" s="90">
        <v>44</v>
      </c>
      <c r="J12" s="88"/>
      <c r="K12" s="90">
        <v>45</v>
      </c>
      <c r="L12" s="90"/>
    </row>
    <row r="13" spans="2:12" ht="12.75">
      <c r="B13" s="90">
        <v>35</v>
      </c>
      <c r="C13" s="90"/>
      <c r="D13" s="90">
        <v>36</v>
      </c>
      <c r="E13" s="89"/>
      <c r="F13" s="90">
        <v>37</v>
      </c>
      <c r="G13" s="90"/>
      <c r="H13" s="90">
        <v>38</v>
      </c>
      <c r="I13" s="90"/>
      <c r="J13" s="88">
        <v>39</v>
      </c>
      <c r="K13" s="90"/>
      <c r="L13" s="90">
        <v>40</v>
      </c>
    </row>
    <row r="14" spans="2:12" ht="12.75">
      <c r="B14" s="90"/>
      <c r="C14" s="90">
        <v>30</v>
      </c>
      <c r="D14" s="90"/>
      <c r="E14" s="89">
        <v>31</v>
      </c>
      <c r="F14" s="90"/>
      <c r="G14" s="90">
        <v>32</v>
      </c>
      <c r="H14" s="90"/>
      <c r="I14" s="90">
        <v>33</v>
      </c>
      <c r="J14" s="88"/>
      <c r="K14" s="90">
        <v>34</v>
      </c>
      <c r="L14" s="90"/>
    </row>
    <row r="15" spans="2:12" ht="12.75">
      <c r="B15" s="90">
        <v>24</v>
      </c>
      <c r="C15" s="90"/>
      <c r="D15" s="90">
        <v>25</v>
      </c>
      <c r="E15" s="89"/>
      <c r="F15" s="90">
        <v>26</v>
      </c>
      <c r="G15" s="90"/>
      <c r="H15" s="90">
        <v>27</v>
      </c>
      <c r="I15" s="90"/>
      <c r="J15" s="88">
        <v>28</v>
      </c>
      <c r="K15" s="90"/>
      <c r="L15" s="90">
        <v>29</v>
      </c>
    </row>
    <row r="16" spans="2:12" ht="12.75">
      <c r="B16" s="90"/>
      <c r="C16" s="90">
        <v>19</v>
      </c>
      <c r="D16" s="90"/>
      <c r="E16" s="89">
        <v>20</v>
      </c>
      <c r="F16" s="90"/>
      <c r="G16" s="90">
        <v>21</v>
      </c>
      <c r="H16" s="90"/>
      <c r="I16" s="90">
        <v>22</v>
      </c>
      <c r="J16" s="88"/>
      <c r="K16" s="90">
        <v>23</v>
      </c>
      <c r="L16" s="90"/>
    </row>
    <row r="17" spans="2:12" ht="12.75">
      <c r="B17" s="90">
        <v>88</v>
      </c>
      <c r="C17" s="90"/>
      <c r="D17" s="90">
        <v>15</v>
      </c>
      <c r="E17" s="89"/>
      <c r="F17" s="90">
        <v>16</v>
      </c>
      <c r="G17" s="90"/>
      <c r="H17" s="90">
        <v>17</v>
      </c>
      <c r="I17" s="90"/>
      <c r="J17" s="88">
        <v>18</v>
      </c>
      <c r="K17" s="90"/>
      <c r="L17" s="90">
        <v>90</v>
      </c>
    </row>
    <row r="18" spans="2:12" ht="12.75">
      <c r="B18" s="90"/>
      <c r="C18" s="90">
        <v>10</v>
      </c>
      <c r="D18" s="90"/>
      <c r="E18" s="89">
        <v>11</v>
      </c>
      <c r="F18" s="90"/>
      <c r="G18" s="90">
        <v>12</v>
      </c>
      <c r="H18" s="90"/>
      <c r="I18" s="90">
        <v>13</v>
      </c>
      <c r="J18" s="88"/>
      <c r="K18" s="90">
        <v>14</v>
      </c>
      <c r="L18" s="90"/>
    </row>
    <row r="19" spans="2:12" ht="12.75">
      <c r="B19" s="22"/>
      <c r="C19" s="90"/>
      <c r="D19" s="90">
        <v>6</v>
      </c>
      <c r="E19" s="89"/>
      <c r="F19" s="90">
        <v>7</v>
      </c>
      <c r="G19" s="90"/>
      <c r="H19" s="90">
        <v>8</v>
      </c>
      <c r="I19" s="90"/>
      <c r="J19" s="88">
        <v>9</v>
      </c>
      <c r="K19" s="90"/>
      <c r="L19" s="22"/>
    </row>
    <row r="20" spans="2:12" ht="12.75">
      <c r="B20" s="22"/>
      <c r="C20" s="22"/>
      <c r="D20" s="90"/>
      <c r="E20" s="89">
        <v>3</v>
      </c>
      <c r="F20" s="90"/>
      <c r="G20" s="90">
        <v>4</v>
      </c>
      <c r="H20" s="90"/>
      <c r="I20" s="90">
        <v>5</v>
      </c>
      <c r="J20" s="88"/>
      <c r="K20" s="22"/>
      <c r="L20" s="22"/>
    </row>
    <row r="21" spans="2:12" ht="12.75">
      <c r="B21" s="22"/>
      <c r="C21" s="22"/>
      <c r="D21" s="22"/>
      <c r="E21" s="89"/>
      <c r="F21" s="90">
        <v>1</v>
      </c>
      <c r="G21" s="90"/>
      <c r="H21" s="90">
        <v>2</v>
      </c>
      <c r="I21" s="90"/>
      <c r="J21" s="22"/>
      <c r="K21" s="22"/>
      <c r="L21" s="22"/>
    </row>
    <row r="22" spans="2:12" ht="12.75">
      <c r="B22" s="22"/>
      <c r="C22" s="22"/>
      <c r="D22" s="22"/>
      <c r="E22" s="22"/>
      <c r="F22" s="90"/>
      <c r="G22" s="90">
        <v>89</v>
      </c>
      <c r="H22" s="90"/>
      <c r="I22" s="22"/>
      <c r="J22" s="22"/>
      <c r="K22" s="22"/>
      <c r="L22" s="22"/>
    </row>
    <row r="23" spans="2:12" ht="12.75">
      <c r="B23" s="22"/>
      <c r="C23" s="22"/>
      <c r="D23" s="22"/>
      <c r="E23" s="22"/>
      <c r="F23" s="22"/>
      <c r="G23" s="90"/>
      <c r="H23" s="22"/>
      <c r="I23" s="22"/>
      <c r="J23" s="22"/>
      <c r="K23" s="22"/>
      <c r="L23" s="22"/>
    </row>
    <row r="25" spans="6:35" ht="12.75">
      <c r="F25" t="s">
        <v>18</v>
      </c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2:35" ht="12.75">
      <c r="B26" s="22"/>
      <c r="C26" s="22"/>
      <c r="D26" s="22"/>
      <c r="E26" s="22"/>
      <c r="F26" s="22"/>
      <c r="G26" s="85">
        <f>[0]!p_86</f>
        <v>0</v>
      </c>
      <c r="H26" s="22"/>
      <c r="I26" s="22"/>
      <c r="J26" s="22"/>
      <c r="K26" s="22"/>
      <c r="L26" s="22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>
        <f>[0]!p_54+[0]!p_65+[0]!p_74+[0]!p_82+[0]!p_86</f>
        <v>-0.15</v>
      </c>
      <c r="Y26" s="63">
        <f>[0]!p_54+[0]!p_65+[0]!p_74+[0]!p_82+[0]!p_86</f>
        <v>-0.15</v>
      </c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2:35" ht="12.75">
      <c r="B27" s="22"/>
      <c r="C27" s="22"/>
      <c r="D27" s="22"/>
      <c r="E27" s="22"/>
      <c r="F27" s="85">
        <f>[0]!p_84</f>
        <v>-0.021</v>
      </c>
      <c r="G27" s="86"/>
      <c r="H27" s="85">
        <f>[0]!p_85</f>
        <v>0.024</v>
      </c>
      <c r="I27" s="22"/>
      <c r="J27" s="22"/>
      <c r="K27" s="22"/>
      <c r="L27" s="22"/>
      <c r="N27" s="61"/>
      <c r="O27" s="61"/>
      <c r="P27" s="61"/>
      <c r="Q27" s="61"/>
      <c r="R27" s="61"/>
      <c r="S27" s="61"/>
      <c r="T27" s="61"/>
      <c r="U27" s="61"/>
      <c r="V27" s="62">
        <f>[0]!p_48+[0]!p_59+[0]!p_69+[0]!p_78+[0]!p_84</f>
        <v>-0.132</v>
      </c>
      <c r="W27" s="62">
        <f>[0]!p_48+[0]!p_59+[0]!p_69+[0]!p_78+[0]!p_84</f>
        <v>-0.132</v>
      </c>
      <c r="X27" s="64">
        <f>[0]!p_54+[0]!p_65+[0]!p_74+[0]!p_82+[0]!p_86</f>
        <v>-0.15</v>
      </c>
      <c r="Y27" s="65">
        <f>[0]!p_54+[0]!p_65+[0]!p_74+[0]!p_82+[0]!p_86</f>
        <v>-0.15</v>
      </c>
      <c r="Z27" s="62">
        <f>[0]!p_49+[0]!p_60+[0]!p_70+[0]!p_79+[0]!p_85</f>
        <v>-0.131</v>
      </c>
      <c r="AA27" s="63">
        <f>[0]!p_49+[0]!p_60+[0]!p_70+[0]!p_79+[0]!p_85</f>
        <v>-0.131</v>
      </c>
      <c r="AB27" s="61"/>
      <c r="AC27" s="61"/>
      <c r="AD27" s="61"/>
      <c r="AE27" s="61"/>
      <c r="AF27" s="61"/>
      <c r="AG27" s="61"/>
      <c r="AH27" s="61"/>
      <c r="AI27" s="61"/>
    </row>
    <row r="28" spans="2:35" ht="12.75">
      <c r="B28" s="22"/>
      <c r="C28" s="22"/>
      <c r="D28" s="22"/>
      <c r="E28" s="85">
        <f>[0]!p_81</f>
        <v>0</v>
      </c>
      <c r="F28" s="86"/>
      <c r="G28" s="85">
        <f>[0]!p_82</f>
        <v>-0.029</v>
      </c>
      <c r="H28" s="86"/>
      <c r="I28" s="85">
        <f>[0]!p_83</f>
        <v>0.227</v>
      </c>
      <c r="J28" s="22"/>
      <c r="K28" s="22"/>
      <c r="L28" s="22"/>
      <c r="N28" s="61"/>
      <c r="O28" s="61"/>
      <c r="P28" s="61"/>
      <c r="Q28" s="61"/>
      <c r="R28" s="61"/>
      <c r="S28" s="61"/>
      <c r="T28" s="62">
        <f>[0]!p_48+[0]!p_53+[0]!p_64+[0]!p_73+[0]!p_81</f>
        <v>0.006999999999999999</v>
      </c>
      <c r="U28" s="63">
        <f>[0]!p_48+[0]!p_53+[0]!p_64+[0]!p_73+[0]!p_81</f>
        <v>0.006999999999999999</v>
      </c>
      <c r="V28" s="62">
        <f>[0]!p_48+[0]!p_59+[0]!p_69+[0]!p_78+[0]!p_84</f>
        <v>-0.132</v>
      </c>
      <c r="W28" s="62">
        <f>[0]!p_48+[0]!p_59+[0]!p_69+[0]!p_78+[0]!p_84</f>
        <v>-0.132</v>
      </c>
      <c r="X28" s="62">
        <f>[0]!p_54+[0]!p_65+[0]!p_74+[0]!p_82</f>
        <v>-0.15</v>
      </c>
      <c r="Y28" s="63">
        <f>[0]!p_54+[0]!p_65+[0]!p_74+[0]!p_82</f>
        <v>-0.15</v>
      </c>
      <c r="Z28" s="64">
        <f>[0]!p_49+[0]!p_60+[0]!p_70+[0]!p_79+[0]!p_85</f>
        <v>-0.131</v>
      </c>
      <c r="AA28" s="65">
        <f>[0]!p_49+[0]!p_60+[0]!p_70+[0]!p_79+[0]!p_85</f>
        <v>-0.131</v>
      </c>
      <c r="AB28" s="64">
        <f>[0]!p_49+[0]!p_55+[0]!p_66+[0]!p_75+[0]!p_83</f>
        <v>0.04099999999999998</v>
      </c>
      <c r="AC28" s="64">
        <f>[0]!p_49+[0]!p_55+[0]!p_66+[0]!p_75+[0]!p_83</f>
        <v>0.04099999999999998</v>
      </c>
      <c r="AD28" s="61"/>
      <c r="AE28" s="61"/>
      <c r="AF28" s="61"/>
      <c r="AG28" s="61"/>
      <c r="AH28" s="61"/>
      <c r="AI28" s="61"/>
    </row>
    <row r="29" spans="2:35" ht="12.75">
      <c r="B29" s="22"/>
      <c r="C29" s="22"/>
      <c r="D29" s="85">
        <f>[0]!p_77</f>
        <v>0</v>
      </c>
      <c r="E29" s="86"/>
      <c r="F29" s="85">
        <f>[0]!p_78</f>
        <v>0</v>
      </c>
      <c r="G29" s="86"/>
      <c r="H29" s="85">
        <f>[0]!p_79</f>
        <v>-0.037</v>
      </c>
      <c r="I29" s="86"/>
      <c r="J29" s="85">
        <f>[0]!p_80</f>
        <v>-0.039</v>
      </c>
      <c r="K29" s="22"/>
      <c r="L29" s="22"/>
      <c r="N29" s="61"/>
      <c r="O29" s="61"/>
      <c r="P29" s="61"/>
      <c r="Q29" s="61"/>
      <c r="R29" s="62">
        <f>[0]!p_48+[0]!p_53+[0]!p_58+[0]!p_68+[0]!p_77</f>
        <v>-0.034</v>
      </c>
      <c r="S29" s="63">
        <f>[0]!p_48+[0]!p_53+[0]!p_58+[0]!p_68+[0]!p_77</f>
        <v>-0.034</v>
      </c>
      <c r="T29" s="64">
        <f>[0]!p_48+[0]!p_53+[0]!p_64+[0]!p_73+[0]!p_81</f>
        <v>0.006999999999999999</v>
      </c>
      <c r="U29" s="65">
        <f>[0]!p_48+[0]!p_53+[0]!p_64+[0]!p_73+[0]!p_81</f>
        <v>0.006999999999999999</v>
      </c>
      <c r="V29" s="62">
        <f>[0]!p_48+[0]!p_59+[0]!p_69+[0]!p_78</f>
        <v>-0.111</v>
      </c>
      <c r="W29" s="63">
        <f>[0]!p_48+[0]!p_59+[0]!p_69+[0]!p_78</f>
        <v>-0.111</v>
      </c>
      <c r="X29" s="64">
        <f>[0]!p_54+[0]!p_65+[0]!p_74+[0]!p_82</f>
        <v>-0.15</v>
      </c>
      <c r="Y29" s="65">
        <f>[0]!p_54+[0]!p_65+[0]!p_74+[0]!p_82</f>
        <v>-0.15</v>
      </c>
      <c r="Z29" s="62">
        <f>[0]!p_49+[0]!p_60+[0]!p_70+[0]!p_79</f>
        <v>-0.155</v>
      </c>
      <c r="AA29" s="63">
        <f>[0]!p_49+[0]!p_60+[0]!p_70+[0]!p_79</f>
        <v>-0.155</v>
      </c>
      <c r="AB29" s="64">
        <f>[0]!p_49+[0]!p_55+[0]!p_66+[0]!p_75+[0]!p_83</f>
        <v>0.04099999999999998</v>
      </c>
      <c r="AC29" s="64">
        <f>[0]!p_49+[0]!p_55+[0]!p_66+[0]!p_75+[0]!p_83</f>
        <v>0.04099999999999998</v>
      </c>
      <c r="AD29" s="62">
        <f>[0]!p_49+[0]!p_55+[0]!p_61+[0]!p_71+[0]!p_80</f>
        <v>-0.225</v>
      </c>
      <c r="AE29" s="63">
        <f>[0]!p_49+[0]!p_55+[0]!p_61+[0]!p_71+[0]!p_80</f>
        <v>-0.225</v>
      </c>
      <c r="AF29" s="61"/>
      <c r="AG29" s="61"/>
      <c r="AH29" s="61"/>
      <c r="AI29" s="61"/>
    </row>
    <row r="30" spans="2:35" ht="12.75">
      <c r="B30" s="22"/>
      <c r="C30" s="85">
        <f>[0]!p_72</f>
        <v>0</v>
      </c>
      <c r="D30" s="86"/>
      <c r="E30" s="85">
        <f>[0]!p_73</f>
        <v>0</v>
      </c>
      <c r="F30" s="86"/>
      <c r="G30" s="85">
        <f>[0]!p_74</f>
        <v>-0.04</v>
      </c>
      <c r="H30" s="86"/>
      <c r="I30" s="85">
        <f>[0]!p_75</f>
        <v>-0.041</v>
      </c>
      <c r="J30" s="86"/>
      <c r="K30" s="85">
        <f>[0]!p_76</f>
        <v>-0.191</v>
      </c>
      <c r="L30" s="22"/>
      <c r="N30" s="61"/>
      <c r="O30" s="61"/>
      <c r="P30" s="62">
        <f>[0]!p_48+[0]!p_53+[0]!p_58+[0]!p_63+[0]!p_72</f>
        <v>-0.023</v>
      </c>
      <c r="Q30" s="62">
        <f>[0]!p_48+[0]!p_53+[0]!p_58+[0]!p_63+[0]!p_72</f>
        <v>-0.023</v>
      </c>
      <c r="R30" s="64">
        <f>[0]!p_48+[0]!p_53+[0]!p_58+[0]!p_68+[0]!p_77</f>
        <v>-0.034</v>
      </c>
      <c r="S30" s="65">
        <f>[0]!p_48+[0]!p_53+[0]!p_58+[0]!p_68+[0]!p_77</f>
        <v>-0.034</v>
      </c>
      <c r="T30" s="62">
        <f>[0]!p_48+[0]!p_53+[0]!p_64+[0]!p_73</f>
        <v>0.006999999999999999</v>
      </c>
      <c r="U30" s="63">
        <f>[0]!p_48+[0]!p_53+[0]!p_64+[0]!p_73</f>
        <v>0.006999999999999999</v>
      </c>
      <c r="V30" s="64">
        <f>[0]!p_48+[0]!p_59+[0]!p_69+[0]!p_78</f>
        <v>-0.111</v>
      </c>
      <c r="W30" s="65">
        <f>[0]!p_48+[0]!p_59+[0]!p_69+[0]!p_78</f>
        <v>-0.111</v>
      </c>
      <c r="X30" s="62">
        <f>[0]!p_54+[0]!p_65+[0]!p_74</f>
        <v>-0.121</v>
      </c>
      <c r="Y30" s="63">
        <f>[0]!p_54+[0]!p_65+[0]!p_74</f>
        <v>-0.121</v>
      </c>
      <c r="Z30" s="64">
        <f>[0]!p_49+[0]!p_60+[0]!p_70+[0]!p_79</f>
        <v>-0.155</v>
      </c>
      <c r="AA30" s="65">
        <f>[0]!p_49+[0]!p_60+[0]!p_70+[0]!p_79</f>
        <v>-0.155</v>
      </c>
      <c r="AB30" s="64">
        <f>[0]!p_49+[0]!p_55+[0]!p_66+[0]!p_75</f>
        <v>-0.18600000000000003</v>
      </c>
      <c r="AC30" s="63">
        <f>[0]!p_49+[0]!p_55+[0]!p_66+[0]!p_75</f>
        <v>-0.18600000000000003</v>
      </c>
      <c r="AD30" s="64">
        <f>[0]!p_49+[0]!p_55+[0]!p_61+[0]!p_71+[0]!p_80</f>
        <v>-0.225</v>
      </c>
      <c r="AE30" s="65">
        <f>[0]!p_49+[0]!p_55+[0]!p_61+[0]!p_71+[0]!p_80</f>
        <v>-0.225</v>
      </c>
      <c r="AF30" s="62">
        <f>[0]!p_49+[0]!p_55+[0]!p_61+[0]!p_67+[0]!p_76</f>
        <v>-0.455</v>
      </c>
      <c r="AG30" s="63">
        <f>[0]!p_49+[0]!p_55+[0]!p_61+[0]!p_67+[0]!p_76</f>
        <v>-0.455</v>
      </c>
      <c r="AH30" s="67"/>
      <c r="AI30" s="61"/>
    </row>
    <row r="31" spans="2:35" ht="12.75">
      <c r="B31" s="85">
        <f>[0]!p_87</f>
        <v>0</v>
      </c>
      <c r="C31" s="86"/>
      <c r="D31" s="85">
        <f>[0]!p_69</f>
        <v>-0.047</v>
      </c>
      <c r="E31" s="86"/>
      <c r="F31" s="85">
        <f>[0]!p_69</f>
        <v>-0.047</v>
      </c>
      <c r="G31" s="86"/>
      <c r="H31" s="85">
        <f>[0]!p_70</f>
        <v>-0.036</v>
      </c>
      <c r="I31" s="86"/>
      <c r="J31" s="85">
        <f>[0]!p_71</f>
        <v>-0.047</v>
      </c>
      <c r="K31" s="86"/>
      <c r="L31" s="85">
        <f>[0]!p_91</f>
        <v>-0.269</v>
      </c>
      <c r="N31" s="62">
        <f>[0]!p_48+[0]!p_53+[0]!p_58+[0]!p_63+[0]!p_87</f>
        <v>-0.023</v>
      </c>
      <c r="O31" s="63">
        <f>[0]!p_48+[0]!p_53+[0]!p_58+[0]!p_63+[0]!p_87</f>
        <v>-0.023</v>
      </c>
      <c r="P31" s="62">
        <f>[0]!p_48+[0]!p_53+[0]!p_58+[0]!p_63+[0]!p_72</f>
        <v>-0.023</v>
      </c>
      <c r="Q31" s="62">
        <f>[0]!p_48+[0]!p_53+[0]!p_58+[0]!p_63+[0]!p_72</f>
        <v>-0.023</v>
      </c>
      <c r="R31" s="62">
        <f>[0]!p_48+[0]!p_53+[0]!p_58+[0]!p_68</f>
        <v>-0.034</v>
      </c>
      <c r="S31" s="63">
        <f>[0]!p_48+[0]!p_53+[0]!p_58+[0]!p_68</f>
        <v>-0.034</v>
      </c>
      <c r="T31" s="64">
        <f>[0]!p_48+[0]!p_53+[0]!p_64+[0]!p_73</f>
        <v>0.006999999999999999</v>
      </c>
      <c r="U31" s="65">
        <f>[0]!p_48+[0]!p_53+[0]!p_64+[0]!p_73</f>
        <v>0.006999999999999999</v>
      </c>
      <c r="V31" s="62">
        <f>[0]!p_48+[0]!p_59+[0]!p_69</f>
        <v>-0.111</v>
      </c>
      <c r="W31" s="63">
        <f>[0]!p_48+[0]!p_59+[0]!p_69</f>
        <v>-0.111</v>
      </c>
      <c r="X31" s="64">
        <f>[0]!p_54+[0]!p_65+[0]!p_74</f>
        <v>-0.121</v>
      </c>
      <c r="Y31" s="65">
        <f>[0]!p_54+[0]!p_65+[0]!p_74</f>
        <v>-0.121</v>
      </c>
      <c r="Z31" s="62">
        <f>[0]!p_49+[0]!p_60+[0]!p_70</f>
        <v>-0.118</v>
      </c>
      <c r="AA31" s="63">
        <f>[0]!p_49+[0]!p_60+[0]!p_70</f>
        <v>-0.118</v>
      </c>
      <c r="AB31" s="64">
        <f>[0]!p_49+[0]!p_55+[0]!p_66+[0]!p_75</f>
        <v>-0.18600000000000003</v>
      </c>
      <c r="AC31" s="65">
        <f>[0]!p_49+[0]!p_55+[0]!p_66+[0]!p_75</f>
        <v>-0.18600000000000003</v>
      </c>
      <c r="AD31" s="62">
        <f>[0]!p_49+[0]!p_55+[0]!p_61+[0]!p_71</f>
        <v>-0.186</v>
      </c>
      <c r="AE31" s="63">
        <f>[0]!p_49+[0]!p_55+[0]!p_61+[0]!p_71</f>
        <v>-0.186</v>
      </c>
      <c r="AF31" s="64">
        <f>[0]!p_49+[0]!p_55+[0]!p_61+[0]!p_67+[0]!p_76</f>
        <v>-0.455</v>
      </c>
      <c r="AG31" s="65">
        <f>[0]!p_49+[0]!p_55+[0]!p_61+[0]!p_67+[0]!p_76</f>
        <v>-0.455</v>
      </c>
      <c r="AH31" s="66">
        <f>[0]!p_49+[0]!p_55+[0]!p_61+[0]!p_67+[0]!p_91</f>
        <v>-0.533</v>
      </c>
      <c r="AI31" s="63">
        <f>[0]!p_49+[0]!p_55+[0]!p_61+[0]!p_67+[0]!p_91</f>
        <v>-0.533</v>
      </c>
    </row>
    <row r="32" spans="2:35" ht="12.75">
      <c r="B32" s="86"/>
      <c r="C32" s="85">
        <f>[0]!p_63</f>
        <v>0</v>
      </c>
      <c r="D32" s="86"/>
      <c r="E32" s="85">
        <f>[0]!p_64</f>
        <v>0.018</v>
      </c>
      <c r="F32" s="86"/>
      <c r="G32" s="85">
        <f>[0]!p_65</f>
        <v>-0.041</v>
      </c>
      <c r="H32" s="86"/>
      <c r="I32" s="85">
        <f>[0]!p_66</f>
        <v>-0.049</v>
      </c>
      <c r="J32" s="86"/>
      <c r="K32" s="85">
        <f>[0]!p_67</f>
        <v>-0.125</v>
      </c>
      <c r="L32" s="86"/>
      <c r="N32" s="64">
        <f>[0]!p_48+[0]!p_53+[0]!p_58+[0]!p_63+[0]!p_87</f>
        <v>-0.023</v>
      </c>
      <c r="O32" s="65">
        <f>[0]!p_48+[0]!p_53+[0]!p_58+[0]!p_63+[0]!p_87</f>
        <v>-0.023</v>
      </c>
      <c r="P32" s="62">
        <f>[0]!p_48+[0]!p_53+[0]!p_58+[0]!p_63</f>
        <v>-0.023</v>
      </c>
      <c r="Q32" s="63">
        <f>[0]!p_48+[0]!p_53+[0]!p_58+[0]!p_63</f>
        <v>-0.023</v>
      </c>
      <c r="R32" s="64">
        <f>[0]!p_48+[0]!p_53+[0]!p_58+[0]!p_68</f>
        <v>-0.034</v>
      </c>
      <c r="S32" s="65">
        <f>[0]!p_48+[0]!p_53+[0]!p_58+[0]!p_68</f>
        <v>-0.034</v>
      </c>
      <c r="T32" s="62">
        <f>[0]!p_48+[0]!p_53+[0]!p_64</f>
        <v>0.006999999999999999</v>
      </c>
      <c r="U32" s="63">
        <f>[0]!p_48+[0]!p_53+[0]!p_64</f>
        <v>0.006999999999999999</v>
      </c>
      <c r="V32" s="64">
        <f>[0]!p_48+[0]!p_59+[0]!p_69</f>
        <v>-0.111</v>
      </c>
      <c r="W32" s="65">
        <f>[0]!p_48+[0]!p_59+[0]!p_69</f>
        <v>-0.111</v>
      </c>
      <c r="X32" s="62">
        <f>[0]!p_54+[0]!p_65</f>
        <v>-0.081</v>
      </c>
      <c r="Y32" s="63">
        <f>[0]!p_54+[0]!p_65</f>
        <v>-0.081</v>
      </c>
      <c r="Z32" s="64">
        <f>[0]!p_49+[0]!p_60+[0]!p_70</f>
        <v>-0.118</v>
      </c>
      <c r="AA32" s="65">
        <f>[0]!p_49+[0]!p_60+[0]!p_70</f>
        <v>-0.118</v>
      </c>
      <c r="AB32" s="62">
        <f>[0]!p_49+[0]!p_55+[0]!p_66</f>
        <v>-0.14500000000000002</v>
      </c>
      <c r="AC32" s="63">
        <f>[0]!p_49+[0]!p_55+[0]!p_66</f>
        <v>-0.14500000000000002</v>
      </c>
      <c r="AD32" s="64">
        <f>[0]!p_49+[0]!p_55+[0]!p_61+[0]!p_71</f>
        <v>-0.186</v>
      </c>
      <c r="AE32" s="65">
        <f>[0]!p_49+[0]!p_55+[0]!p_61+[0]!p_71</f>
        <v>-0.186</v>
      </c>
      <c r="AF32" s="62">
        <f>[0]!p_49+[0]!p_55+[0]!p_61+[0]!p_67</f>
        <v>-0.264</v>
      </c>
      <c r="AG32" s="63">
        <f>[0]!p_49+[0]!p_55+[0]!p_61+[0]!p_67</f>
        <v>-0.264</v>
      </c>
      <c r="AH32" s="64">
        <f>[0]!p_49+[0]!p_55+[0]!p_61+[0]!p_67+[0]!p_91</f>
        <v>-0.533</v>
      </c>
      <c r="AI32" s="65">
        <f>[0]!p_49+[0]!p_55+[0]!p_61+[0]!p_67+[0]!p_91</f>
        <v>-0.533</v>
      </c>
    </row>
    <row r="33" spans="2:35" ht="12.75">
      <c r="B33" s="85">
        <f>[0]!p_57</f>
        <v>0.015</v>
      </c>
      <c r="C33" s="86"/>
      <c r="D33" s="85">
        <f>[0]!p_58</f>
        <v>-0.012</v>
      </c>
      <c r="E33" s="86"/>
      <c r="F33" s="85">
        <f>[0]!p_59</f>
        <v>-0.053</v>
      </c>
      <c r="G33" s="86"/>
      <c r="H33" s="85">
        <f>[0]!p_60</f>
        <v>-0.039</v>
      </c>
      <c r="I33" s="86"/>
      <c r="J33" s="85">
        <f>[0]!p_61</f>
        <v>-0.043</v>
      </c>
      <c r="K33" s="86"/>
      <c r="L33" s="85">
        <f>[0]!p_62</f>
        <v>0.038</v>
      </c>
      <c r="N33" s="62">
        <f>[0]!p_37+[0]!p_42+[0]!p_47+[0]!p_52+[0]!p_57</f>
        <v>0.041</v>
      </c>
      <c r="O33" s="63">
        <f>[0]!p_37+[0]!p_42+[0]!p_47+[0]!p_52+[0]!p_57</f>
        <v>0.041</v>
      </c>
      <c r="P33" s="64">
        <f>[0]!p_48+[0]!p_53+[0]!p_58+[0]!p_63</f>
        <v>-0.023</v>
      </c>
      <c r="Q33" s="65">
        <f>[0]!p_48+[0]!p_53+[0]!p_58+[0]!p_63</f>
        <v>-0.023</v>
      </c>
      <c r="R33" s="62">
        <f>[0]!p_48+[0]!p_53+[0]!p_58</f>
        <v>-0.023</v>
      </c>
      <c r="S33" s="63">
        <f>[0]!p_48+[0]!p_53+[0]!p_58</f>
        <v>-0.023</v>
      </c>
      <c r="T33" s="64">
        <f>[0]!p_48+[0]!p_53+[0]!p_64</f>
        <v>0.006999999999999999</v>
      </c>
      <c r="U33" s="65">
        <f>[0]!p_48+[0]!p_53+[0]!p_64</f>
        <v>0.006999999999999999</v>
      </c>
      <c r="V33" s="62">
        <f>[0]!p_48+[0]!p_59</f>
        <v>-0.064</v>
      </c>
      <c r="W33" s="63">
        <f>[0]!p_48+[0]!p_59</f>
        <v>-0.064</v>
      </c>
      <c r="X33" s="64">
        <f>[0]!p_54+[0]!p_65</f>
        <v>-0.081</v>
      </c>
      <c r="Y33" s="65">
        <f>[0]!p_54+[0]!p_65</f>
        <v>-0.081</v>
      </c>
      <c r="Z33" s="62">
        <f>[0]!p_49+[0]!p_60</f>
        <v>-0.08199999999999999</v>
      </c>
      <c r="AA33" s="63">
        <f>[0]!p_49+[0]!p_60</f>
        <v>-0.08199999999999999</v>
      </c>
      <c r="AB33" s="64">
        <f>[0]!p_49+[0]!p_55+[0]!p_66</f>
        <v>-0.14500000000000002</v>
      </c>
      <c r="AC33" s="65">
        <f>[0]!p_49+[0]!p_55+[0]!p_66</f>
        <v>-0.14500000000000002</v>
      </c>
      <c r="AD33" s="62">
        <f>[0]!p_49+[0]!p_55+[0]!p_61</f>
        <v>-0.139</v>
      </c>
      <c r="AE33" s="63">
        <f>[0]!p_49+[0]!p_55+[0]!p_61</f>
        <v>-0.139</v>
      </c>
      <c r="AF33" s="64">
        <f>[0]!p_49+[0]!p_55+[0]!p_61+[0]!p_67</f>
        <v>-0.264</v>
      </c>
      <c r="AG33" s="65">
        <f>[0]!p_49+[0]!p_55+[0]!p_61+[0]!p_67</f>
        <v>-0.264</v>
      </c>
      <c r="AH33" s="62">
        <f>[0]!p_38+[0]!p_44+[0]!p_50+[0]!p_56+[0]!p_62</f>
        <v>0.013999999999999999</v>
      </c>
      <c r="AI33" s="63">
        <f>[0]!p_38+[0]!p_44+[0]!p_50+[0]!p_56+[0]!p_62</f>
        <v>0.013999999999999999</v>
      </c>
    </row>
    <row r="34" spans="2:35" ht="12.75">
      <c r="B34" s="86"/>
      <c r="C34" s="85">
        <f>[0]!p_52</f>
        <v>0.016</v>
      </c>
      <c r="D34" s="86"/>
      <c r="E34" s="85">
        <f>[0]!p_53</f>
        <v>0</v>
      </c>
      <c r="F34" s="86"/>
      <c r="G34" s="85">
        <f>[0]!p_54</f>
        <v>-0.04</v>
      </c>
      <c r="H34" s="86"/>
      <c r="I34" s="85">
        <f>[0]!p_55</f>
        <v>-0.053</v>
      </c>
      <c r="J34" s="86"/>
      <c r="K34" s="85">
        <f>[0]!p_56</f>
        <v>0</v>
      </c>
      <c r="L34" s="86"/>
      <c r="N34" s="64">
        <f>[0]!p_37+[0]!p_42+[0]!p_47+[0]!p_52+[0]!p_57</f>
        <v>0.041</v>
      </c>
      <c r="O34" s="65">
        <f>[0]!p_37+[0]!p_42+[0]!p_47+[0]!p_52+[0]!p_57</f>
        <v>0.041</v>
      </c>
      <c r="P34" s="62">
        <f>[0]!p_37+[0]!p_42+[0]!p_47+[0]!p_52</f>
        <v>0.026000000000000002</v>
      </c>
      <c r="Q34" s="63">
        <f>[0]!p_37+[0]!p_42+[0]!p_47+[0]!p_52</f>
        <v>0.026000000000000002</v>
      </c>
      <c r="R34" s="64">
        <f>[0]!p_48+[0]!p_53+[0]!p_58</f>
        <v>-0.023</v>
      </c>
      <c r="S34" s="65">
        <f>[0]!p_48+[0]!p_53+[0]!p_58</f>
        <v>-0.023</v>
      </c>
      <c r="T34" s="68">
        <f>[0]!p_48+[0]!p_53</f>
        <v>-0.011</v>
      </c>
      <c r="U34" s="69">
        <f>[0]!p_48+[0]!p_53</f>
        <v>-0.011</v>
      </c>
      <c r="V34" s="64">
        <f>[0]!p_48+[0]!p_59</f>
        <v>-0.064</v>
      </c>
      <c r="W34" s="65">
        <f>[0]!p_48+[0]!p_59</f>
        <v>-0.064</v>
      </c>
      <c r="X34" s="62">
        <f>[0]!p_54</f>
        <v>-0.04</v>
      </c>
      <c r="Y34" s="63">
        <f>[0]!p_54</f>
        <v>-0.04</v>
      </c>
      <c r="Z34" s="64">
        <f>[0]!p_49+[0]!p_60</f>
        <v>-0.08199999999999999</v>
      </c>
      <c r="AA34" s="65">
        <f>[0]!p_49+[0]!p_60</f>
        <v>-0.08199999999999999</v>
      </c>
      <c r="AB34" s="62">
        <f>[0]!p_49+[0]!p_55</f>
        <v>-0.096</v>
      </c>
      <c r="AC34" s="63">
        <f>[0]!p_49+[0]!p_55</f>
        <v>-0.096</v>
      </c>
      <c r="AD34" s="64">
        <f>[0]!p_49+[0]!p_55+[0]!p_61</f>
        <v>-0.139</v>
      </c>
      <c r="AE34" s="65">
        <f>[0]!p_49+[0]!p_55+[0]!p_61</f>
        <v>-0.139</v>
      </c>
      <c r="AF34" s="62">
        <f>[0]!p_38+[0]!p_44+[0]!p_50+[0]!p_56</f>
        <v>-0.024</v>
      </c>
      <c r="AG34" s="63">
        <f>[0]!p_38+[0]!p_44+[0]!p_50+[0]!p_56</f>
        <v>-0.024</v>
      </c>
      <c r="AH34" s="64">
        <f>[0]!p_38+[0]!p_44+[0]!p_50+[0]!p_56+[0]!p_62</f>
        <v>0.013999999999999999</v>
      </c>
      <c r="AI34" s="65">
        <f>[0]!p_38+[0]!p_44+[0]!p_50+[0]!p_56+[0]!p_62</f>
        <v>0.013999999999999999</v>
      </c>
    </row>
    <row r="35" spans="2:35" ht="12.75">
      <c r="B35" s="85">
        <f>[0]!p_46</f>
        <v>0</v>
      </c>
      <c r="C35" s="86"/>
      <c r="D35" s="85">
        <f>[0]!p_47</f>
        <v>0.01</v>
      </c>
      <c r="E35" s="86"/>
      <c r="F35" s="85">
        <f>[0]!p_48</f>
        <v>-0.011</v>
      </c>
      <c r="G35" s="86"/>
      <c r="H35" s="85">
        <f>[0]!p_49</f>
        <v>-0.043</v>
      </c>
      <c r="I35" s="86"/>
      <c r="J35" s="85">
        <f>[0]!p_50</f>
        <v>0</v>
      </c>
      <c r="K35" s="86"/>
      <c r="L35" s="85">
        <f>[0]!p_51</f>
        <v>0.014</v>
      </c>
      <c r="N35" s="62">
        <f>[0]!p_37+[0]!p_31+[0]!p_36+[0]!p_41+[0]!p_46</f>
        <v>-0.013</v>
      </c>
      <c r="O35" s="63">
        <f>[0]!p_37+[0]!p_31+[0]!p_36+[0]!p_41+[0]!p_46</f>
        <v>-0.013</v>
      </c>
      <c r="P35" s="70">
        <f>[0]!p_37+[0]!p_42+[0]!p_47+[0]!p_52</f>
        <v>0.026000000000000002</v>
      </c>
      <c r="Q35" s="65">
        <f>[0]!p_37+[0]!p_42+[0]!p_47+[0]!p_52</f>
        <v>0.026000000000000002</v>
      </c>
      <c r="R35" s="62">
        <f>[0]!p_37+[0]!p_42+[0]!p_47</f>
        <v>0.01</v>
      </c>
      <c r="S35" s="63">
        <f>[0]!p_37+[0]!p_42+[0]!p_47</f>
        <v>0.01</v>
      </c>
      <c r="T35" s="71">
        <f>[0]!p_48+[0]!p_53</f>
        <v>-0.011</v>
      </c>
      <c r="U35" s="72">
        <f>[0]!p_48+[0]!p_53</f>
        <v>-0.011</v>
      </c>
      <c r="V35" s="62">
        <f>[0]!p_48</f>
        <v>-0.011</v>
      </c>
      <c r="W35" s="63">
        <f>[0]!p_48</f>
        <v>-0.011</v>
      </c>
      <c r="X35" s="64">
        <f>[0]!p_54</f>
        <v>-0.04</v>
      </c>
      <c r="Y35" s="65">
        <f>[0]!p_54</f>
        <v>-0.04</v>
      </c>
      <c r="Z35" s="62">
        <f>[0]!p_49</f>
        <v>-0.043</v>
      </c>
      <c r="AA35" s="63">
        <f>[0]!p_49</f>
        <v>-0.043</v>
      </c>
      <c r="AB35" s="64">
        <f>[0]!p_49+[0]!p_55</f>
        <v>-0.096</v>
      </c>
      <c r="AC35" s="65">
        <f>[0]!p_49+[0]!p_55</f>
        <v>-0.096</v>
      </c>
      <c r="AD35" s="62">
        <f>[0]!p_38+[0]!p_44+[0]!p_50</f>
        <v>-0.024</v>
      </c>
      <c r="AE35" s="63">
        <f>[0]!p_38+[0]!p_44+[0]!p_50</f>
        <v>-0.024</v>
      </c>
      <c r="AF35" s="64">
        <f>[0]!p_38+[0]!p_44+[0]!p_50+[0]!p_56</f>
        <v>-0.024</v>
      </c>
      <c r="AG35" s="65">
        <f>[0]!p_38+[0]!p_44+[0]!p_50+[0]!p_56</f>
        <v>-0.024</v>
      </c>
      <c r="AH35" s="62">
        <f>[0]!p_38+[0]!p_33+[0]!p_39+[0]!p_45+[0]!p_51</f>
        <v>-0.045</v>
      </c>
      <c r="AI35" s="63">
        <f>[0]!p_38+[0]!p_33+[0]!p_39+[0]!p_45+[0]!p_51</f>
        <v>-0.045</v>
      </c>
    </row>
    <row r="36" spans="2:35" ht="12.75">
      <c r="B36" s="86"/>
      <c r="C36" s="85">
        <f>[0]!p_41</f>
        <v>0</v>
      </c>
      <c r="D36" s="86"/>
      <c r="E36" s="85">
        <f>[0]!p_42</f>
        <v>0</v>
      </c>
      <c r="F36" s="86"/>
      <c r="G36" s="87"/>
      <c r="H36" s="86"/>
      <c r="I36" s="85">
        <f>[0]!p_44</f>
        <v>-0.01</v>
      </c>
      <c r="J36" s="86"/>
      <c r="K36" s="85">
        <f>[0]!p_45</f>
        <v>-0.013000000000000001</v>
      </c>
      <c r="L36" s="86"/>
      <c r="N36" s="64">
        <f>[0]!p_37+[0]!p_31+[0]!p_36+[0]!p_41+[0]!p_46</f>
        <v>-0.013</v>
      </c>
      <c r="O36" s="65">
        <f>[0]!p_37+[0]!p_31+[0]!p_36+[0]!p_41+[0]!p_46</f>
        <v>-0.013</v>
      </c>
      <c r="P36" s="62">
        <f>[0]!p_37+[0]!p_31+[0]!p_36+[0]!p_41</f>
        <v>-0.013</v>
      </c>
      <c r="Q36" s="63">
        <f>[0]!p_37+[0]!p_31+[0]!p_36+[0]!p_41</f>
        <v>-0.013</v>
      </c>
      <c r="R36" s="64">
        <f>[0]!p_37+[0]!p_42+[0]!p_47</f>
        <v>0.01</v>
      </c>
      <c r="S36" s="65">
        <f>[0]!p_37+[0]!p_42+[0]!p_47</f>
        <v>0.01</v>
      </c>
      <c r="T36" s="62">
        <f>[0]!p_37+[0]!p_42</f>
        <v>0</v>
      </c>
      <c r="U36" s="63">
        <f>[0]!p_37+[0]!p_42</f>
        <v>0</v>
      </c>
      <c r="V36" s="64">
        <f>[0]!p_48</f>
        <v>-0.011</v>
      </c>
      <c r="W36" s="65">
        <f>[0]!p_48</f>
        <v>-0.011</v>
      </c>
      <c r="X36" s="62"/>
      <c r="Y36" s="63"/>
      <c r="Z36" s="64">
        <f>[0]!p_49</f>
        <v>-0.043</v>
      </c>
      <c r="AA36" s="65">
        <f>[0]!p_49</f>
        <v>-0.043</v>
      </c>
      <c r="AB36" s="62">
        <f>[0]!p_38+[0]!p_44</f>
        <v>-0.024</v>
      </c>
      <c r="AC36" s="63">
        <f>[0]!p_38+[0]!p_44</f>
        <v>-0.024</v>
      </c>
      <c r="AD36" s="64">
        <f>[0]!p_38+[0]!p_44+[0]!p_50</f>
        <v>-0.024</v>
      </c>
      <c r="AE36" s="65">
        <f>[0]!p_38+[0]!p_44+[0]!p_50</f>
        <v>-0.024</v>
      </c>
      <c r="AF36" s="62">
        <f>[0]!p_38+[0]!p_33+[0]!p_39+[0]!p_45</f>
        <v>-0.059</v>
      </c>
      <c r="AG36" s="63">
        <f>[0]!p_38+[0]!p_33+[0]!p_39+[0]!p_45</f>
        <v>-0.059</v>
      </c>
      <c r="AH36" s="64">
        <f>[0]!p_38+[0]!p_33+[0]!p_39+[0]!p_45+[0]!p_51</f>
        <v>-0.045</v>
      </c>
      <c r="AI36" s="65">
        <f>[0]!p_38+[0]!p_33+[0]!p_39+[0]!p_45+[0]!p_51</f>
        <v>-0.045</v>
      </c>
    </row>
    <row r="37" spans="2:35" ht="12.75">
      <c r="B37" s="85">
        <f>[0]!p_35</f>
        <v>0</v>
      </c>
      <c r="C37" s="86"/>
      <c r="D37" s="85">
        <f>[0]!p_36</f>
        <v>0</v>
      </c>
      <c r="E37" s="86"/>
      <c r="F37" s="85">
        <f>[0]!p_37</f>
        <v>0</v>
      </c>
      <c r="G37" s="86"/>
      <c r="H37" s="85">
        <f>[0]!p_38</f>
        <v>-0.014</v>
      </c>
      <c r="I37" s="86"/>
      <c r="J37" s="85">
        <f>[0]!p_39</f>
        <v>-0.014</v>
      </c>
      <c r="K37" s="86"/>
      <c r="L37" s="85">
        <f>[0]!p_40</f>
        <v>0.042</v>
      </c>
      <c r="N37" s="62">
        <f>[0]!p_37+[0]!p_31+[0]!p_25+[0]!p_30+[0]!p_35</f>
        <v>-0.002999999999999999</v>
      </c>
      <c r="O37" s="63">
        <f>[0]!p_37+[0]!p_31+[0]!p_25+[0]!p_30+[0]!p_35</f>
        <v>-0.002999999999999999</v>
      </c>
      <c r="P37" s="64">
        <f>[0]!p_37+[0]!p_31+[0]!p_36+[0]!p_41</f>
        <v>-0.013</v>
      </c>
      <c r="Q37" s="65">
        <f>[0]!p_37+[0]!p_31+[0]!p_36+[0]!p_41</f>
        <v>-0.013</v>
      </c>
      <c r="R37" s="62">
        <f>[0]!p_37+[0]!p_31+[0]!p_36</f>
        <v>-0.013</v>
      </c>
      <c r="S37" s="63">
        <f>[0]!p_37+[0]!p_31+[0]!p_36</f>
        <v>-0.013</v>
      </c>
      <c r="T37" s="64">
        <f>[0]!p_37+[0]!p_42</f>
        <v>0</v>
      </c>
      <c r="U37" s="65">
        <f>[0]!p_37+[0]!p_42</f>
        <v>0</v>
      </c>
      <c r="V37" s="62">
        <f>[0]!p_37</f>
        <v>0</v>
      </c>
      <c r="W37" s="63">
        <f>[0]!p_37</f>
        <v>0</v>
      </c>
      <c r="X37" s="64"/>
      <c r="Y37" s="65"/>
      <c r="Z37" s="62">
        <f>[0]!p_38</f>
        <v>-0.014</v>
      </c>
      <c r="AA37" s="63">
        <f>[0]!p_38</f>
        <v>-0.014</v>
      </c>
      <c r="AB37" s="64">
        <f>[0]!p_38+[0]!p_44</f>
        <v>-0.024</v>
      </c>
      <c r="AC37" s="65">
        <f>[0]!p_38+[0]!p_44</f>
        <v>-0.024</v>
      </c>
      <c r="AD37" s="62">
        <f>[0]!p_38+[0]!p_33+[0]!p_39</f>
        <v>-0.046</v>
      </c>
      <c r="AE37" s="63">
        <f>[0]!p_38+[0]!p_33+[0]!p_39</f>
        <v>-0.046</v>
      </c>
      <c r="AF37" s="64">
        <f>[0]!p_38+[0]!p_33+[0]!p_39+[0]!p_45</f>
        <v>-0.059</v>
      </c>
      <c r="AG37" s="65">
        <f>[0]!p_38+[0]!p_33+[0]!p_39+[0]!p_45</f>
        <v>-0.059</v>
      </c>
      <c r="AH37" s="62">
        <f>[0]!p_38+[0]!p_33+[0]!p_28+[0]!p_34+[0]!p_40</f>
        <v>-0.008</v>
      </c>
      <c r="AI37" s="63">
        <f>[0]!p_38+[0]!p_33+[0]!p_28+[0]!p_34+[0]!p_40</f>
        <v>-0.008</v>
      </c>
    </row>
    <row r="38" spans="2:35" ht="12.75">
      <c r="B38" s="86"/>
      <c r="C38" s="85">
        <f>[0]!p_30</f>
        <v>0.01</v>
      </c>
      <c r="D38" s="86"/>
      <c r="E38" s="85">
        <f>[0]!p_31</f>
        <v>-0.013</v>
      </c>
      <c r="F38" s="86"/>
      <c r="G38" s="85">
        <f>[0]!p_32</f>
        <v>-0.014</v>
      </c>
      <c r="H38" s="86"/>
      <c r="I38" s="85">
        <f>[0]!p_33</f>
        <v>-0.018</v>
      </c>
      <c r="J38" s="86"/>
      <c r="K38" s="85">
        <f>[0]!p_34</f>
        <v>0</v>
      </c>
      <c r="L38" s="86"/>
      <c r="N38" s="64">
        <f>[0]!p_37+[0]!p_31+[0]!p_25+[0]!p_30+[0]!p_35</f>
        <v>-0.002999999999999999</v>
      </c>
      <c r="O38" s="65">
        <f>[0]!p_37+[0]!p_31+[0]!p_25+[0]!p_30+[0]!p_35</f>
        <v>-0.002999999999999999</v>
      </c>
      <c r="P38" s="62">
        <f>[0]!p_37+[0]!p_31+[0]!p_25+[0]!p_30</f>
        <v>-0.002999999999999999</v>
      </c>
      <c r="Q38" s="63">
        <f>[0]!p_37+[0]!p_31+[0]!p_25+[0]!p_30</f>
        <v>-0.002999999999999999</v>
      </c>
      <c r="R38" s="64">
        <f>[0]!p_37+[0]!p_31+[0]!p_36</f>
        <v>-0.013</v>
      </c>
      <c r="S38" s="65">
        <f>[0]!p_37+[0]!p_31+[0]!p_36</f>
        <v>-0.013</v>
      </c>
      <c r="T38" s="62">
        <f>[0]!p_37+[0]!p_31</f>
        <v>-0.013</v>
      </c>
      <c r="U38" s="63">
        <f>[0]!p_37+[0]!p_31</f>
        <v>-0.013</v>
      </c>
      <c r="V38" s="64">
        <f>[0]!p_37</f>
        <v>0</v>
      </c>
      <c r="W38" s="65">
        <f>[0]!p_37</f>
        <v>0</v>
      </c>
      <c r="X38" s="62">
        <f>[0]!p_32</f>
        <v>-0.014</v>
      </c>
      <c r="Y38" s="63">
        <f>[0]!p_32</f>
        <v>-0.014</v>
      </c>
      <c r="Z38" s="64">
        <f>[0]!p_38</f>
        <v>-0.014</v>
      </c>
      <c r="AA38" s="65">
        <f>[0]!p_38</f>
        <v>-0.014</v>
      </c>
      <c r="AB38" s="62">
        <f>[0]!p_38+[0]!p_33</f>
        <v>-0.032</v>
      </c>
      <c r="AC38" s="63">
        <f>[0]!p_38+[0]!p_33</f>
        <v>-0.032</v>
      </c>
      <c r="AD38" s="64">
        <f>[0]!p_38+[0]!p_33+[0]!p_39</f>
        <v>-0.046</v>
      </c>
      <c r="AE38" s="65">
        <f>[0]!p_38+[0]!p_33+[0]!p_39</f>
        <v>-0.046</v>
      </c>
      <c r="AF38" s="62">
        <f>[0]!p_38+[0]!p_33+[0]!p_28+[0]!p_34</f>
        <v>-0.05</v>
      </c>
      <c r="AG38" s="63">
        <f>[0]!p_38+[0]!p_33+[0]!p_28+[0]!p_34</f>
        <v>-0.05</v>
      </c>
      <c r="AH38" s="64">
        <f>[0]!p_38+[0]!p_33+[0]!p_28+[0]!p_34+[0]!p_40</f>
        <v>-0.008</v>
      </c>
      <c r="AI38" s="65">
        <f>[0]!p_38+[0]!p_33+[0]!p_28+[0]!p_34+[0]!p_40</f>
        <v>-0.008</v>
      </c>
    </row>
    <row r="39" spans="2:35" ht="12.75">
      <c r="B39" s="85">
        <f>[0]!p_24</f>
        <v>0.022</v>
      </c>
      <c r="C39" s="86"/>
      <c r="D39" s="85">
        <f>[0]!p_25</f>
        <v>0</v>
      </c>
      <c r="E39" s="86"/>
      <c r="F39" s="85">
        <f>[0]!p_26</f>
        <v>0</v>
      </c>
      <c r="G39" s="86"/>
      <c r="H39" s="85">
        <f>[0]!p_27</f>
        <v>-0.018</v>
      </c>
      <c r="I39" s="86"/>
      <c r="J39" s="85">
        <f>[0]!p_28</f>
        <v>-0.018</v>
      </c>
      <c r="K39" s="86"/>
      <c r="L39" s="85">
        <f>[0]!p_29</f>
        <v>0</v>
      </c>
      <c r="N39" s="62">
        <f>[0]!p_37+[0]!p_31+[0]!p_25+[0]!p_19+[0]!p_24</f>
        <v>0.023</v>
      </c>
      <c r="O39" s="63">
        <f>[0]!p_37+[0]!p_31+[0]!p_25+[0]!p_19+[0]!p_24</f>
        <v>0.023</v>
      </c>
      <c r="P39" s="64">
        <f>[0]!p_37+[0]!p_31+[0]!p_25+[0]!p_30</f>
        <v>-0.002999999999999999</v>
      </c>
      <c r="Q39" s="65">
        <f>[0]!p_37+[0]!p_31+[0]!p_25+[0]!p_30</f>
        <v>-0.002999999999999999</v>
      </c>
      <c r="R39" s="62">
        <f>[0]!p_37+[0]!p_31+[0]!p_25</f>
        <v>-0.013</v>
      </c>
      <c r="S39" s="63">
        <f>[0]!p_37+[0]!p_31+[0]!p_25</f>
        <v>-0.013</v>
      </c>
      <c r="T39" s="64">
        <f>[0]!p_37+[0]!p_31</f>
        <v>-0.013</v>
      </c>
      <c r="U39" s="65">
        <f>[0]!p_37+[0]!p_31</f>
        <v>-0.013</v>
      </c>
      <c r="V39" s="62">
        <f>[0]!p_37+[0]!p_26</f>
        <v>0</v>
      </c>
      <c r="W39" s="63">
        <f>[0]!p_37+[0]!p_26</f>
        <v>0</v>
      </c>
      <c r="X39" s="64">
        <f>[0]!p_32</f>
        <v>-0.014</v>
      </c>
      <c r="Y39" s="65">
        <f>[0]!p_32</f>
        <v>-0.014</v>
      </c>
      <c r="Z39" s="62">
        <f>[0]!p_38+[0]!p_27</f>
        <v>-0.032</v>
      </c>
      <c r="AA39" s="63">
        <f>[0]!p_38+[0]!p_27</f>
        <v>-0.032</v>
      </c>
      <c r="AB39" s="64">
        <f>[0]!p_38+[0]!p_33</f>
        <v>-0.032</v>
      </c>
      <c r="AC39" s="65">
        <f>[0]!p_38+[0]!p_33</f>
        <v>-0.032</v>
      </c>
      <c r="AD39" s="62">
        <f>[0]!p_38+[0]!p_33+[0]!p_28</f>
        <v>-0.05</v>
      </c>
      <c r="AE39" s="63">
        <f>[0]!p_38+[0]!p_33+[0]!p_28</f>
        <v>-0.05</v>
      </c>
      <c r="AF39" s="64">
        <f>[0]!p_38+[0]!p_33+[0]!p_28+[0]!p_34</f>
        <v>-0.05</v>
      </c>
      <c r="AG39" s="65">
        <f>[0]!p_38+[0]!p_33+[0]!p_28+[0]!p_34</f>
        <v>-0.05</v>
      </c>
      <c r="AH39" s="62">
        <f>[0]!p_38+[0]!p_33+[0]!p_28+[0]!p_23+[0]!p_29</f>
        <v>-0.035</v>
      </c>
      <c r="AI39" s="63">
        <f>[0]!p_38+[0]!p_33+[0]!p_28+[0]!p_23+[0]!p_29</f>
        <v>-0.035</v>
      </c>
    </row>
    <row r="40" spans="2:35" ht="12.75">
      <c r="B40" s="86"/>
      <c r="C40" s="85">
        <f>[0]!p_19</f>
        <v>0.014</v>
      </c>
      <c r="D40" s="86"/>
      <c r="E40" s="85">
        <f>[0]!p_20</f>
        <v>-0.011</v>
      </c>
      <c r="F40" s="86"/>
      <c r="G40" s="85">
        <f>[0]!p_21</f>
        <v>-0.013</v>
      </c>
      <c r="H40" s="86"/>
      <c r="I40" s="85">
        <f>[0]!p_22</f>
        <v>-0.014</v>
      </c>
      <c r="J40" s="86"/>
      <c r="K40" s="85">
        <f>[0]!p_23</f>
        <v>0.015</v>
      </c>
      <c r="L40" s="86"/>
      <c r="N40" s="64">
        <f>[0]!p_37+[0]!p_31+[0]!p_25+[0]!p_19+[0]!p_24</f>
        <v>0.023</v>
      </c>
      <c r="O40" s="65">
        <f>[0]!p_37+[0]!p_31+[0]!p_25+[0]!p_19+[0]!p_24</f>
        <v>0.023</v>
      </c>
      <c r="P40" s="62">
        <f>[0]!p_37+[0]!p_31+[0]!p_25+[0]!p_19</f>
        <v>0.0010000000000000009</v>
      </c>
      <c r="Q40" s="63">
        <f>[0]!p_37+[0]!p_31+[0]!p_25+[0]!p_19</f>
        <v>0.0010000000000000009</v>
      </c>
      <c r="R40" s="64">
        <f>[0]!p_37+[0]!p_31+[0]!p_25</f>
        <v>-0.013</v>
      </c>
      <c r="S40" s="65">
        <f>[0]!p_37+[0]!p_31+[0]!p_25</f>
        <v>-0.013</v>
      </c>
      <c r="T40" s="62">
        <f>[0]!p_37+[0]!p_31+[0]!p_20</f>
        <v>-0.024</v>
      </c>
      <c r="U40" s="63">
        <f>[0]!p_37+[0]!p_31+[0]!p_20</f>
        <v>-0.024</v>
      </c>
      <c r="V40" s="64">
        <f>[0]!p_37+[0]!p_26</f>
        <v>0</v>
      </c>
      <c r="W40" s="65">
        <f>[0]!p_37+[0]!p_26</f>
        <v>0</v>
      </c>
      <c r="X40" s="62">
        <f>[0]!p_21+[0]!p_32</f>
        <v>-0.027</v>
      </c>
      <c r="Y40" s="63">
        <f>[0]!p_21+[0]!p_32</f>
        <v>-0.027</v>
      </c>
      <c r="Z40" s="64">
        <f>[0]!p_38+[0]!p_27</f>
        <v>-0.032</v>
      </c>
      <c r="AA40" s="65">
        <f>[0]!p_38+[0]!p_27</f>
        <v>-0.032</v>
      </c>
      <c r="AB40" s="62">
        <f>[0]!p_38+[0]!p_33+[0]!p_22</f>
        <v>-0.046</v>
      </c>
      <c r="AC40" s="63">
        <f>[0]!p_38+[0]!p_33+[0]!p_22</f>
        <v>-0.046</v>
      </c>
      <c r="AD40" s="64">
        <f>[0]!p_38+[0]!p_33+[0]!p_28</f>
        <v>-0.05</v>
      </c>
      <c r="AE40" s="65">
        <f>[0]!p_38+[0]!p_33+[0]!p_28</f>
        <v>-0.05</v>
      </c>
      <c r="AF40" s="62">
        <f>[0]!p_38+[0]!p_33+[0]!p_28+[0]!p_23</f>
        <v>-0.035</v>
      </c>
      <c r="AG40" s="63">
        <f>[0]!p_38+[0]!p_33+[0]!p_28+[0]!p_23</f>
        <v>-0.035</v>
      </c>
      <c r="AH40" s="64">
        <f>[0]!p_38+[0]!p_33+[0]!p_28+[0]!p_23+[0]!p_29</f>
        <v>-0.035</v>
      </c>
      <c r="AI40" s="65">
        <f>[0]!p_38+[0]!p_33+[0]!p_28+[0]!p_23+[0]!p_29</f>
        <v>-0.035</v>
      </c>
    </row>
    <row r="41" spans="2:35" ht="12.75">
      <c r="B41" s="85">
        <f>[0]!p_88</f>
        <v>0.017</v>
      </c>
      <c r="C41" s="86"/>
      <c r="D41" s="85">
        <f>[0]!p_15</f>
        <v>0</v>
      </c>
      <c r="E41" s="86"/>
      <c r="F41" s="85">
        <f>[0]!p_16</f>
        <v>-0.012</v>
      </c>
      <c r="G41" s="86"/>
      <c r="H41" s="85">
        <f>[0]!p_17</f>
        <v>-0.019</v>
      </c>
      <c r="I41" s="86"/>
      <c r="J41" s="85">
        <f>[0]!p_18</f>
        <v>0.011</v>
      </c>
      <c r="K41" s="86"/>
      <c r="L41" s="85">
        <f>[0]!p_90</f>
        <v>0.034</v>
      </c>
      <c r="N41" s="62">
        <f>[0]!p_37+[0]!p_31+[0]!p_25+[0]!p_19+[0]!p_88</f>
        <v>0.018000000000000002</v>
      </c>
      <c r="O41" s="63">
        <f>[0]!p_37+[0]!p_31+[0]!p_25+[0]!p_19+[0]!p_88</f>
        <v>0.018000000000000002</v>
      </c>
      <c r="P41" s="64">
        <f>[0]!p_37+[0]!p_31+[0]!p_25+[0]!p_19</f>
        <v>0.0010000000000000009</v>
      </c>
      <c r="Q41" s="65">
        <f>[0]!p_37+[0]!p_31+[0]!p_25+[0]!p_19</f>
        <v>0.0010000000000000009</v>
      </c>
      <c r="R41" s="62">
        <f>[0]!p_37+[0]!p_31+[0]!p_25+[0]!p_15</f>
        <v>-0.013</v>
      </c>
      <c r="S41" s="63">
        <f>[0]!p_37+[0]!p_31+[0]!p_25+[0]!p_15</f>
        <v>-0.013</v>
      </c>
      <c r="T41" s="64">
        <f>[0]!p_37+[0]!p_31+[0]!p_20</f>
        <v>-0.024</v>
      </c>
      <c r="U41" s="65">
        <f>[0]!p_37+[0]!p_31+[0]!p_20</f>
        <v>-0.024</v>
      </c>
      <c r="V41" s="62">
        <f>[0]!p_37+[0]!p_26+[0]!p_16</f>
        <v>-0.012</v>
      </c>
      <c r="W41" s="63">
        <f>[0]!p_37+[0]!p_26+[0]!p_16</f>
        <v>-0.012</v>
      </c>
      <c r="X41" s="64">
        <f>[0]!p_21+[0]!p_32</f>
        <v>-0.027</v>
      </c>
      <c r="Y41" s="65">
        <f>[0]!p_21+[0]!p_32</f>
        <v>-0.027</v>
      </c>
      <c r="Z41" s="62">
        <f>[0]!p_38+[0]!p_27+[0]!p_17</f>
        <v>-0.051000000000000004</v>
      </c>
      <c r="AA41" s="63">
        <f>[0]!p_38+[0]!p_27+[0]!p_17</f>
        <v>-0.051000000000000004</v>
      </c>
      <c r="AB41" s="64">
        <f>[0]!p_38+[0]!p_33+[0]!p_22</f>
        <v>-0.046</v>
      </c>
      <c r="AC41" s="65">
        <f>[0]!p_38+[0]!p_33+[0]!p_22</f>
        <v>-0.046</v>
      </c>
      <c r="AD41" s="62">
        <f>[0]!p_38+[0]!p_33+[0]!p_28+[0]!p_18</f>
        <v>-0.03900000000000001</v>
      </c>
      <c r="AE41" s="63">
        <f>[0]!p_38+[0]!p_33+[0]!p_28+[0]!p_18</f>
        <v>-0.03900000000000001</v>
      </c>
      <c r="AF41" s="64">
        <f>[0]!p_38+[0]!p_33+[0]!p_28+[0]!p_23</f>
        <v>-0.035</v>
      </c>
      <c r="AG41" s="65">
        <f>[0]!p_38+[0]!p_33+[0]!p_28+[0]!p_23</f>
        <v>-0.035</v>
      </c>
      <c r="AH41" s="62">
        <f>[0]!p_38+[0]!p_33+[0]!p_28+[0]!p_23+[0]!p_90</f>
        <v>-0.0010000000000000009</v>
      </c>
      <c r="AI41" s="63">
        <f>[0]!p_38+[0]!p_33+[0]!p_28+[0]!p_23+[0]!p_90</f>
        <v>-0.0010000000000000009</v>
      </c>
    </row>
    <row r="42" spans="2:35" ht="12.75">
      <c r="B42" s="86"/>
      <c r="C42" s="85">
        <f>[0]!p_10</f>
        <v>0.048999999999999995</v>
      </c>
      <c r="D42" s="86"/>
      <c r="E42" s="85">
        <f>[0]!p_11</f>
        <v>0</v>
      </c>
      <c r="F42" s="86"/>
      <c r="G42" s="85">
        <f>[0]!p_12</f>
        <v>0</v>
      </c>
      <c r="H42" s="86"/>
      <c r="I42" s="85">
        <f>[0]!p_13</f>
        <v>0</v>
      </c>
      <c r="J42" s="86"/>
      <c r="K42" s="85">
        <f>[0]!p_14</f>
        <v>0.035</v>
      </c>
      <c r="L42" s="86"/>
      <c r="N42" s="64">
        <f>[0]!p_37+[0]!p_31+[0]!p_25+[0]!p_19+[0]!p_88</f>
        <v>0.018000000000000002</v>
      </c>
      <c r="O42" s="65">
        <f>[0]!p_37+[0]!p_31+[0]!p_25+[0]!p_19+[0]!p_88</f>
        <v>0.018000000000000002</v>
      </c>
      <c r="P42" s="62">
        <f>[0]!p_37+[0]!p_31+[0]!p_25+[0]!p_19+[0]!p_10</f>
        <v>0.049999999999999996</v>
      </c>
      <c r="Q42" s="63">
        <f>[0]!p_37+[0]!p_31+[0]!p_25+[0]!p_19+[0]!p_10</f>
        <v>0.049999999999999996</v>
      </c>
      <c r="R42" s="64">
        <f>[0]!p_37+[0]!p_31+[0]!p_25+[0]!p_15</f>
        <v>-0.013</v>
      </c>
      <c r="S42" s="65">
        <f>[0]!p_37+[0]!p_31+[0]!p_25+[0]!p_15</f>
        <v>-0.013</v>
      </c>
      <c r="T42" s="62">
        <f>[0]!p_37+[0]!p_31+[0]!p_20+[0]!p_11</f>
        <v>-0.024</v>
      </c>
      <c r="U42" s="63">
        <f>[0]!p_37+[0]!p_31+[0]!p_20+[0]!p_11</f>
        <v>-0.024</v>
      </c>
      <c r="V42" s="64">
        <f>[0]!p_37+[0]!p_26+[0]!p_16</f>
        <v>-0.012</v>
      </c>
      <c r="W42" s="65">
        <f>[0]!p_37+[0]!p_26+[0]!p_16</f>
        <v>-0.012</v>
      </c>
      <c r="X42" s="62">
        <f>[0]!p_21+[0]!p_32+[0]!p_12</f>
        <v>-0.027</v>
      </c>
      <c r="Y42" s="63">
        <f>[0]!p_21+[0]!p_32+[0]!p_12</f>
        <v>-0.027</v>
      </c>
      <c r="Z42" s="64">
        <f>[0]!p_38+[0]!p_27+[0]!p_17</f>
        <v>-0.051000000000000004</v>
      </c>
      <c r="AA42" s="65">
        <f>[0]!p_38+[0]!p_27+[0]!p_17</f>
        <v>-0.051000000000000004</v>
      </c>
      <c r="AB42" s="62">
        <f>[0]!p_38+[0]!p_33+[0]!p_22+[0]!p_13</f>
        <v>-0.046</v>
      </c>
      <c r="AC42" s="63">
        <f>[0]!p_38+[0]!p_33+[0]!p_22+[0]!p_13</f>
        <v>-0.046</v>
      </c>
      <c r="AD42" s="64">
        <f>[0]!p_38+[0]!p_33+[0]!p_28+[0]!p_18</f>
        <v>-0.03900000000000001</v>
      </c>
      <c r="AE42" s="65">
        <f>[0]!p_38+[0]!p_33+[0]!p_28+[0]!p_18</f>
        <v>-0.03900000000000001</v>
      </c>
      <c r="AF42" s="62">
        <f>[0]!p_38+[0]!p_33+[0]!p_28+[0]!p_23+[0]!p_14</f>
        <v>0</v>
      </c>
      <c r="AG42" s="63">
        <f>[0]!p_38+[0]!p_33+[0]!p_28+[0]!p_23+[0]!p_14</f>
        <v>0</v>
      </c>
      <c r="AH42" s="70">
        <f>[0]!p_38+[0]!p_33+[0]!p_28+[0]!p_23+[0]!p_90</f>
        <v>-0.0010000000000000009</v>
      </c>
      <c r="AI42" s="65">
        <f>[0]!p_38+[0]!p_33+[0]!p_28+[0]!p_23+[0]!p_90</f>
        <v>-0.0010000000000000009</v>
      </c>
    </row>
    <row r="43" spans="2:35" ht="12.75">
      <c r="B43" s="22"/>
      <c r="C43" s="86"/>
      <c r="D43" s="85">
        <f>[0]!p_6</f>
        <v>0.027</v>
      </c>
      <c r="E43" s="86"/>
      <c r="F43" s="85">
        <f>[0]!p_7</f>
        <v>0</v>
      </c>
      <c r="G43" s="86"/>
      <c r="H43" s="85">
        <f>[0]!p_8</f>
        <v>-0.01</v>
      </c>
      <c r="I43" s="86"/>
      <c r="J43" s="85">
        <f>[0]!p_9</f>
        <v>0.019</v>
      </c>
      <c r="K43" s="86"/>
      <c r="L43" s="22"/>
      <c r="N43" s="61"/>
      <c r="O43" s="61"/>
      <c r="P43" s="64">
        <f>[0]!p_37+[0]!p_31+[0]!p_25+[0]!p_19+[0]!p_10</f>
        <v>0.049999999999999996</v>
      </c>
      <c r="Q43" s="65">
        <f>[0]!p_37+[0]!p_31+[0]!p_25+[0]!p_19+[0]!p_10</f>
        <v>0.049999999999999996</v>
      </c>
      <c r="R43" s="62">
        <f>[0]!p_37+[0]!p_31+[0]!p_25+[0]!p_15+[0]!p_6</f>
        <v>0.014</v>
      </c>
      <c r="S43" s="63">
        <f>[0]!p_37+[0]!p_31+[0]!p_25+[0]!p_15+[0]!p_6</f>
        <v>0.014</v>
      </c>
      <c r="T43" s="64">
        <f>[0]!p_37+[0]!p_31+[0]!p_20+[0]!p_11</f>
        <v>-0.024</v>
      </c>
      <c r="U43" s="65">
        <f>[0]!p_37+[0]!p_31+[0]!p_20+[0]!p_11</f>
        <v>-0.024</v>
      </c>
      <c r="V43" s="62">
        <f>[0]!p_37+[0]!p_26+[0]!p_16+[0]!p_7</f>
        <v>-0.012</v>
      </c>
      <c r="W43" s="63">
        <f>[0]!p_37+[0]!p_26+[0]!p_16+[0]!p_7</f>
        <v>-0.012</v>
      </c>
      <c r="X43" s="64">
        <f>[0]!p_21+[0]!p_32+[0]!p_12</f>
        <v>-0.027</v>
      </c>
      <c r="Y43" s="65">
        <f>[0]!p_21+[0]!p_32+[0]!p_12</f>
        <v>-0.027</v>
      </c>
      <c r="Z43" s="62">
        <f>[0]!p_38+[0]!p_27+[0]!p_17+[0]!p_8</f>
        <v>-0.061000000000000006</v>
      </c>
      <c r="AA43" s="63">
        <f>[0]!p_38+[0]!p_27+[0]!p_17+[0]!p_8</f>
        <v>-0.061000000000000006</v>
      </c>
      <c r="AB43" s="64">
        <f>[0]!p_38+[0]!p_33+[0]!p_22+[0]!p_13</f>
        <v>-0.046</v>
      </c>
      <c r="AC43" s="65">
        <f>[0]!p_38+[0]!p_33+[0]!p_22+[0]!p_13</f>
        <v>-0.046</v>
      </c>
      <c r="AD43" s="62">
        <f>[0]!p_38+[0]!p_33+[0]!p_28+[0]!p_18+[0]!p_9</f>
        <v>-0.020000000000000007</v>
      </c>
      <c r="AE43" s="63">
        <f>[0]!p_38+[0]!p_33+[0]!p_28+[0]!p_18+[0]!p_9</f>
        <v>-0.020000000000000007</v>
      </c>
      <c r="AF43" s="64">
        <f>[0]!p_38+[0]!p_33+[0]!p_28+[0]!p_23+[0]!p_14</f>
        <v>0</v>
      </c>
      <c r="AG43" s="65">
        <f>[0]!p_38+[0]!p_33+[0]!p_28+[0]!p_23+[0]!p_14</f>
        <v>0</v>
      </c>
      <c r="AH43" s="67"/>
      <c r="AI43" s="61"/>
    </row>
    <row r="44" spans="2:35" ht="12.75">
      <c r="B44" s="22"/>
      <c r="C44" s="22"/>
      <c r="D44" s="86"/>
      <c r="E44" s="85">
        <f>[0]!p_3</f>
        <v>0</v>
      </c>
      <c r="F44" s="86"/>
      <c r="G44" s="85">
        <f>[0]!p_4</f>
        <v>0</v>
      </c>
      <c r="H44" s="86"/>
      <c r="I44" s="85">
        <f>[0]!p_5</f>
        <v>0.015</v>
      </c>
      <c r="J44" s="86"/>
      <c r="K44" s="22"/>
      <c r="L44" s="22"/>
      <c r="N44" s="61"/>
      <c r="O44" s="61"/>
      <c r="P44" s="61"/>
      <c r="Q44" s="73"/>
      <c r="R44" s="64">
        <f>[0]!p_37+[0]!p_31+[0]!p_25+[0]!p_15+[0]!p_6</f>
        <v>0.014</v>
      </c>
      <c r="S44" s="65">
        <f>[0]!p_37+[0]!p_31+[0]!p_25+[0]!p_15+[0]!p_6</f>
        <v>0.014</v>
      </c>
      <c r="T44" s="62">
        <f>[0]!p_37+[0]!p_31+[0]!p_20+[0]!p_11+[0]!p_3</f>
        <v>-0.024</v>
      </c>
      <c r="U44" s="63">
        <f>[0]!p_37+[0]!p_31+[0]!p_20+[0]!p_11+[0]!p_3</f>
        <v>-0.024</v>
      </c>
      <c r="V44" s="64">
        <f>[0]!p_37+[0]!p_26+[0]!p_16+[0]!p_7</f>
        <v>-0.012</v>
      </c>
      <c r="W44" s="65">
        <f>[0]!p_37+[0]!p_26+[0]!p_16+[0]!p_7</f>
        <v>-0.012</v>
      </c>
      <c r="X44" s="62">
        <f>[0]!p_21+[0]!p_32+[0]!p_12+[0]!p_4</f>
        <v>-0.027</v>
      </c>
      <c r="Y44" s="63">
        <f>[0]!p_21+[0]!p_32+[0]!p_12+[0]!p_4</f>
        <v>-0.027</v>
      </c>
      <c r="Z44" s="64">
        <f>[0]!p_38+[0]!p_27+[0]!p_17+[0]!p_8</f>
        <v>-0.061000000000000006</v>
      </c>
      <c r="AA44" s="65">
        <f>[0]!p_38+[0]!p_27+[0]!p_17+[0]!p_8</f>
        <v>-0.061000000000000006</v>
      </c>
      <c r="AB44" s="62">
        <f>[0]!p_38+[0]!p_33+[0]!p_22+[0]!p_13+[0]!p_5</f>
        <v>-0.031</v>
      </c>
      <c r="AC44" s="63">
        <f>[0]!p_38+[0]!p_33+[0]!p_22+[0]!p_13+[0]!p_5</f>
        <v>-0.031</v>
      </c>
      <c r="AD44" s="64">
        <f>[0]!p_38+[0]!p_33+[0]!p_28+[0]!p_18+[0]!p_9</f>
        <v>-0.020000000000000007</v>
      </c>
      <c r="AE44" s="65">
        <f>[0]!p_38+[0]!p_33+[0]!p_28+[0]!p_18+[0]!p_9</f>
        <v>-0.020000000000000007</v>
      </c>
      <c r="AF44" s="61"/>
      <c r="AG44" s="61"/>
      <c r="AH44" s="61"/>
      <c r="AI44" s="61"/>
    </row>
    <row r="45" spans="2:35" ht="12.75">
      <c r="B45" s="22"/>
      <c r="C45" s="22"/>
      <c r="D45" s="22"/>
      <c r="E45" s="86"/>
      <c r="F45" s="85">
        <f>[0]!p_1</f>
        <v>0</v>
      </c>
      <c r="G45" s="86"/>
      <c r="H45" s="85">
        <f>[0]!p_2</f>
        <v>-0.055</v>
      </c>
      <c r="I45" s="86"/>
      <c r="J45" s="22"/>
      <c r="K45" s="22"/>
      <c r="L45" s="22"/>
      <c r="N45" s="61"/>
      <c r="O45" s="61"/>
      <c r="P45" s="61"/>
      <c r="Q45" s="61"/>
      <c r="R45" s="61"/>
      <c r="S45" s="61"/>
      <c r="T45" s="64">
        <f>[0]!p_37+[0]!p_31+[0]!p_20+[0]!p_11+[0]!p_3</f>
        <v>-0.024</v>
      </c>
      <c r="U45" s="65">
        <f>[0]!p_37+[0]!p_31+[0]!p_20+[0]!p_11+[0]!p_3</f>
        <v>-0.024</v>
      </c>
      <c r="V45" s="62">
        <f>[0]!p_37+[0]!p_26+[0]!p_16+[0]!p_7+[0]!p_1</f>
        <v>-0.012</v>
      </c>
      <c r="W45" s="63">
        <f>[0]!p_37+[0]!p_26+[0]!p_16+[0]!p_7+[0]!p_1</f>
        <v>-0.012</v>
      </c>
      <c r="X45" s="64">
        <f>[0]!p_21+[0]!p_32+[0]!p_12+[0]!p_4</f>
        <v>-0.027</v>
      </c>
      <c r="Y45" s="65">
        <f>[0]!p_21+[0]!p_32+[0]!p_12+[0]!p_4</f>
        <v>-0.027</v>
      </c>
      <c r="Z45" s="62">
        <f>[0]!p_38+[0]!p_27+[0]!p_17+[0]!p_8+[0]!p_2</f>
        <v>-0.116</v>
      </c>
      <c r="AA45" s="63">
        <f>[0]!p_38+[0]!p_27+[0]!p_17+[0]!p_8+[0]!p_2</f>
        <v>-0.116</v>
      </c>
      <c r="AB45" s="64">
        <f>[0]!p_38+[0]!p_33+[0]!p_22+[0]!p_13+[0]!p_5</f>
        <v>-0.031</v>
      </c>
      <c r="AC45" s="65">
        <f>[0]!p_38+[0]!p_33+[0]!p_22+[0]!p_13+[0]!p_5</f>
        <v>-0.031</v>
      </c>
      <c r="AD45" s="61"/>
      <c r="AE45" s="61"/>
      <c r="AF45" s="61"/>
      <c r="AG45" s="61"/>
      <c r="AH45" s="61"/>
      <c r="AI45" s="61"/>
    </row>
    <row r="46" spans="2:35" ht="12.75">
      <c r="B46" s="22"/>
      <c r="C46" s="22"/>
      <c r="D46" s="22"/>
      <c r="E46" s="22"/>
      <c r="F46" s="86"/>
      <c r="G46" s="85">
        <f>[0]!p_89</f>
        <v>0.026</v>
      </c>
      <c r="H46" s="86"/>
      <c r="I46" s="22"/>
      <c r="J46" s="22"/>
      <c r="K46" s="22"/>
      <c r="L46" s="22"/>
      <c r="N46" s="61"/>
      <c r="O46" s="61"/>
      <c r="P46" s="61"/>
      <c r="Q46" s="61"/>
      <c r="R46" s="61"/>
      <c r="S46" s="61"/>
      <c r="T46" s="61"/>
      <c r="U46" s="61"/>
      <c r="V46" s="64">
        <f>[0]!p_37+[0]!p_26+[0]!p_16+[0]!p_7+[0]!p_1</f>
        <v>-0.012</v>
      </c>
      <c r="W46" s="65">
        <f>[0]!p_37+[0]!p_26+[0]!p_16+[0]!p_7+[0]!p_1</f>
        <v>-0.012</v>
      </c>
      <c r="X46" s="62">
        <f>[0]!p_21+[0]!p_32+[0]!p_12+[0]!p_4+[0]!p_89</f>
        <v>-0.0010000000000000009</v>
      </c>
      <c r="Y46" s="63">
        <f>[0]!p_21+[0]!p_32+[0]!p_12+[0]!p_4+[0]!p_89</f>
        <v>-0.0010000000000000009</v>
      </c>
      <c r="Z46" s="64">
        <f>[0]!p_38+[0]!p_27+[0]!p_17+[0]!p_8+[0]!p_2</f>
        <v>-0.116</v>
      </c>
      <c r="AA46" s="65">
        <f>[0]!p_38+[0]!p_27+[0]!p_17+[0]!p_8+[0]!p_2</f>
        <v>-0.116</v>
      </c>
      <c r="AB46" s="61"/>
      <c r="AC46" s="61"/>
      <c r="AD46" s="61"/>
      <c r="AE46" s="61"/>
      <c r="AF46" s="61"/>
      <c r="AG46" s="61"/>
      <c r="AH46" s="61"/>
      <c r="AI46" s="61"/>
    </row>
    <row r="47" spans="2:35" ht="12.75">
      <c r="B47" s="22"/>
      <c r="C47" s="22"/>
      <c r="D47" s="22"/>
      <c r="E47" s="22"/>
      <c r="F47" s="22"/>
      <c r="G47" s="86"/>
      <c r="H47" s="22"/>
      <c r="I47" s="22"/>
      <c r="J47" s="22"/>
      <c r="K47" s="22"/>
      <c r="L47" s="22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4">
        <f>[0]!p_21+[0]!p_32+[0]!p_12+[0]!p_4+[0]!p_89</f>
        <v>-0.0010000000000000009</v>
      </c>
      <c r="Y47" s="65">
        <f>[0]!p_21+[0]!p_32+[0]!p_12+[0]!p_4+[0]!p_89</f>
        <v>-0.0010000000000000009</v>
      </c>
      <c r="Z47" s="61"/>
      <c r="AA47" s="61"/>
      <c r="AB47" s="61"/>
      <c r="AC47" s="61"/>
      <c r="AD47" s="61"/>
      <c r="AE47" s="61"/>
      <c r="AF47" s="61"/>
      <c r="AG47" s="61"/>
      <c r="AH47" s="61"/>
      <c r="AI47" s="61"/>
    </row>
  </sheetData>
  <mergeCells count="182">
    <mergeCell ref="G2:G3"/>
    <mergeCell ref="F3:F4"/>
    <mergeCell ref="H3:H4"/>
    <mergeCell ref="E4:E5"/>
    <mergeCell ref="G4:G5"/>
    <mergeCell ref="I6:I7"/>
    <mergeCell ref="I4:I5"/>
    <mergeCell ref="D5:D6"/>
    <mergeCell ref="F5:F6"/>
    <mergeCell ref="H5:H6"/>
    <mergeCell ref="K6:K7"/>
    <mergeCell ref="B7:B8"/>
    <mergeCell ref="D7:D8"/>
    <mergeCell ref="F7:F8"/>
    <mergeCell ref="H7:H8"/>
    <mergeCell ref="J7:J8"/>
    <mergeCell ref="J5:J6"/>
    <mergeCell ref="C6:C7"/>
    <mergeCell ref="E6:E7"/>
    <mergeCell ref="G6:G7"/>
    <mergeCell ref="L7:L8"/>
    <mergeCell ref="C8:C9"/>
    <mergeCell ref="E8:E9"/>
    <mergeCell ref="G8:G9"/>
    <mergeCell ref="I8:I9"/>
    <mergeCell ref="K8:K9"/>
    <mergeCell ref="J9:J10"/>
    <mergeCell ref="L9:L10"/>
    <mergeCell ref="I10:I11"/>
    <mergeCell ref="K10:K11"/>
    <mergeCell ref="B9:B10"/>
    <mergeCell ref="D9:D10"/>
    <mergeCell ref="F9:F10"/>
    <mergeCell ref="H9:H10"/>
    <mergeCell ref="C10:C11"/>
    <mergeCell ref="E10:E11"/>
    <mergeCell ref="G10:G11"/>
    <mergeCell ref="B11:B12"/>
    <mergeCell ref="D11:D12"/>
    <mergeCell ref="F11:F12"/>
    <mergeCell ref="H11:H12"/>
    <mergeCell ref="J11:J12"/>
    <mergeCell ref="L11:L12"/>
    <mergeCell ref="C12:C13"/>
    <mergeCell ref="E12:E13"/>
    <mergeCell ref="G12:G13"/>
    <mergeCell ref="I12:I13"/>
    <mergeCell ref="K12:K13"/>
    <mergeCell ref="J13:J14"/>
    <mergeCell ref="L13:L14"/>
    <mergeCell ref="H13:H14"/>
    <mergeCell ref="C14:C15"/>
    <mergeCell ref="E14:E15"/>
    <mergeCell ref="G14:G15"/>
    <mergeCell ref="I14:I15"/>
    <mergeCell ref="K14:K15"/>
    <mergeCell ref="B15:B16"/>
    <mergeCell ref="D15:D16"/>
    <mergeCell ref="F15:F16"/>
    <mergeCell ref="H15:H16"/>
    <mergeCell ref="J15:J16"/>
    <mergeCell ref="B13:B14"/>
    <mergeCell ref="D13:D14"/>
    <mergeCell ref="F13:F14"/>
    <mergeCell ref="L15:L16"/>
    <mergeCell ref="C16:C17"/>
    <mergeCell ref="E16:E17"/>
    <mergeCell ref="G16:G17"/>
    <mergeCell ref="I16:I17"/>
    <mergeCell ref="K16:K17"/>
    <mergeCell ref="J17:J18"/>
    <mergeCell ref="L17:L18"/>
    <mergeCell ref="I18:I19"/>
    <mergeCell ref="K18:K19"/>
    <mergeCell ref="B17:B18"/>
    <mergeCell ref="D17:D18"/>
    <mergeCell ref="F17:F18"/>
    <mergeCell ref="H17:H18"/>
    <mergeCell ref="C18:C19"/>
    <mergeCell ref="E18:E19"/>
    <mergeCell ref="G18:G19"/>
    <mergeCell ref="D19:D20"/>
    <mergeCell ref="F19:F20"/>
    <mergeCell ref="H19:H20"/>
    <mergeCell ref="J19:J20"/>
    <mergeCell ref="E20:E21"/>
    <mergeCell ref="G20:G21"/>
    <mergeCell ref="I20:I21"/>
    <mergeCell ref="F21:F22"/>
    <mergeCell ref="H21:H22"/>
    <mergeCell ref="G22:G23"/>
    <mergeCell ref="G26:G27"/>
    <mergeCell ref="F27:F28"/>
    <mergeCell ref="H27:H28"/>
    <mergeCell ref="E28:E29"/>
    <mergeCell ref="G28:G29"/>
    <mergeCell ref="I30:I31"/>
    <mergeCell ref="I28:I29"/>
    <mergeCell ref="D29:D30"/>
    <mergeCell ref="F29:F30"/>
    <mergeCell ref="H29:H30"/>
    <mergeCell ref="K30:K31"/>
    <mergeCell ref="B31:B32"/>
    <mergeCell ref="D31:D32"/>
    <mergeCell ref="F31:F32"/>
    <mergeCell ref="H31:H32"/>
    <mergeCell ref="J31:J32"/>
    <mergeCell ref="J29:J30"/>
    <mergeCell ref="C30:C31"/>
    <mergeCell ref="E30:E31"/>
    <mergeCell ref="G30:G31"/>
    <mergeCell ref="L31:L32"/>
    <mergeCell ref="C32:C33"/>
    <mergeCell ref="E32:E33"/>
    <mergeCell ref="G32:G33"/>
    <mergeCell ref="I32:I33"/>
    <mergeCell ref="K32:K33"/>
    <mergeCell ref="J33:J34"/>
    <mergeCell ref="L33:L34"/>
    <mergeCell ref="I34:I35"/>
    <mergeCell ref="K34:K35"/>
    <mergeCell ref="B33:B34"/>
    <mergeCell ref="D33:D34"/>
    <mergeCell ref="F33:F34"/>
    <mergeCell ref="H33:H34"/>
    <mergeCell ref="C34:C35"/>
    <mergeCell ref="E34:E35"/>
    <mergeCell ref="G34:G35"/>
    <mergeCell ref="B35:B36"/>
    <mergeCell ref="D35:D36"/>
    <mergeCell ref="F35:F36"/>
    <mergeCell ref="H35:H36"/>
    <mergeCell ref="J35:J36"/>
    <mergeCell ref="L35:L36"/>
    <mergeCell ref="C36:C37"/>
    <mergeCell ref="E36:E37"/>
    <mergeCell ref="G36:G37"/>
    <mergeCell ref="I36:I37"/>
    <mergeCell ref="K36:K37"/>
    <mergeCell ref="J37:J38"/>
    <mergeCell ref="L37:L38"/>
    <mergeCell ref="H37:H38"/>
    <mergeCell ref="C38:C39"/>
    <mergeCell ref="E38:E39"/>
    <mergeCell ref="G38:G39"/>
    <mergeCell ref="I38:I39"/>
    <mergeCell ref="K38:K39"/>
    <mergeCell ref="B39:B40"/>
    <mergeCell ref="D39:D40"/>
    <mergeCell ref="F39:F40"/>
    <mergeCell ref="H39:H40"/>
    <mergeCell ref="J39:J40"/>
    <mergeCell ref="B37:B38"/>
    <mergeCell ref="D37:D38"/>
    <mergeCell ref="F37:F38"/>
    <mergeCell ref="L39:L40"/>
    <mergeCell ref="C40:C41"/>
    <mergeCell ref="E40:E41"/>
    <mergeCell ref="G40:G41"/>
    <mergeCell ref="I40:I41"/>
    <mergeCell ref="K40:K41"/>
    <mergeCell ref="J41:J42"/>
    <mergeCell ref="L41:L42"/>
    <mergeCell ref="I42:I43"/>
    <mergeCell ref="K42:K43"/>
    <mergeCell ref="B41:B42"/>
    <mergeCell ref="D41:D42"/>
    <mergeCell ref="F41:F42"/>
    <mergeCell ref="H41:H42"/>
    <mergeCell ref="C42:C43"/>
    <mergeCell ref="E42:E43"/>
    <mergeCell ref="G42:G43"/>
    <mergeCell ref="D43:D44"/>
    <mergeCell ref="F43:F44"/>
    <mergeCell ref="H43:H44"/>
    <mergeCell ref="J43:J44"/>
    <mergeCell ref="E44:E45"/>
    <mergeCell ref="G44:G45"/>
    <mergeCell ref="I44:I45"/>
    <mergeCell ref="F45:F46"/>
    <mergeCell ref="H45:H46"/>
    <mergeCell ref="G46:G47"/>
  </mergeCells>
  <printOptions gridLines="1"/>
  <pageMargins left="0.75" right="0.75" top="1" bottom="1" header="0.511811023" footer="0.51181102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I47"/>
  <sheetViews>
    <sheetView zoomScale="75" zoomScaleNormal="75" workbookViewId="0" topLeftCell="E1">
      <selection activeCell="M3" sqref="M3"/>
    </sheetView>
  </sheetViews>
  <sheetFormatPr defaultColWidth="9.140625" defaultRowHeight="12.75"/>
  <cols>
    <col min="2" max="8" width="7.28125" style="0" customWidth="1"/>
    <col min="9" max="9" width="8.421875" style="0" bestFit="1" customWidth="1"/>
    <col min="10" max="12" width="7.28125" style="0" customWidth="1"/>
    <col min="13" max="13" width="11.421875" style="0" customWidth="1"/>
    <col min="14" max="14" width="4.28125" style="0" customWidth="1"/>
    <col min="15" max="15" width="4.57421875" style="0" customWidth="1"/>
    <col min="16" max="16" width="4.421875" style="0" customWidth="1"/>
    <col min="17" max="17" width="4.28125" style="0" customWidth="1"/>
    <col min="18" max="18" width="4.421875" style="0" customWidth="1"/>
    <col min="19" max="19" width="4.28125" style="0" customWidth="1"/>
    <col min="20" max="20" width="4.7109375" style="0" bestFit="1" customWidth="1"/>
    <col min="21" max="21" width="4.28125" style="0" customWidth="1"/>
    <col min="22" max="22" width="4.421875" style="0" customWidth="1"/>
    <col min="23" max="23" width="4.28125" style="0" customWidth="1"/>
    <col min="24" max="25" width="4.00390625" style="0" customWidth="1"/>
    <col min="26" max="26" width="4.421875" style="0" customWidth="1"/>
    <col min="27" max="28" width="4.28125" style="0" customWidth="1"/>
    <col min="29" max="30" width="4.421875" style="0" customWidth="1"/>
    <col min="31" max="31" width="4.28125" style="0" customWidth="1"/>
    <col min="32" max="32" width="4.421875" style="0" customWidth="1"/>
    <col min="33" max="34" width="4.28125" style="0" customWidth="1"/>
    <col min="35" max="35" width="4.421875" style="0" customWidth="1"/>
    <col min="36" max="16384" width="11.421875" style="0" customWidth="1"/>
  </cols>
  <sheetData>
    <row r="2" spans="2:12" ht="12.75">
      <c r="B2" s="22"/>
      <c r="C2" s="22"/>
      <c r="D2" s="22"/>
      <c r="E2" s="22"/>
      <c r="F2" s="22"/>
      <c r="G2" s="90">
        <v>86</v>
      </c>
      <c r="H2" s="22"/>
      <c r="I2" s="22"/>
      <c r="J2" s="22"/>
      <c r="K2" s="22"/>
      <c r="L2" s="22"/>
    </row>
    <row r="3" spans="2:12" ht="12.75">
      <c r="B3" s="22"/>
      <c r="C3" s="22"/>
      <c r="D3" s="22"/>
      <c r="E3" s="22"/>
      <c r="F3" s="90">
        <v>84</v>
      </c>
      <c r="G3" s="90"/>
      <c r="H3" s="90">
        <v>85</v>
      </c>
      <c r="I3" s="22"/>
      <c r="J3" s="22"/>
      <c r="L3" s="22"/>
    </row>
    <row r="4" spans="2:12" ht="12.75">
      <c r="B4" s="22"/>
      <c r="C4" s="22"/>
      <c r="D4" s="22"/>
      <c r="E4" s="89">
        <v>81</v>
      </c>
      <c r="F4" s="90"/>
      <c r="G4" s="90">
        <v>82</v>
      </c>
      <c r="H4" s="90"/>
      <c r="I4" s="90">
        <v>83</v>
      </c>
      <c r="J4" s="22"/>
      <c r="K4" s="22"/>
      <c r="L4" s="22"/>
    </row>
    <row r="5" spans="2:12" ht="12.75">
      <c r="B5" s="22"/>
      <c r="C5" s="22"/>
      <c r="D5" s="90">
        <v>77</v>
      </c>
      <c r="E5" s="89"/>
      <c r="F5" s="90">
        <v>78</v>
      </c>
      <c r="G5" s="90"/>
      <c r="H5" s="90">
        <v>79</v>
      </c>
      <c r="I5" s="90"/>
      <c r="J5" s="88">
        <v>80</v>
      </c>
      <c r="K5" s="22"/>
      <c r="L5" s="22"/>
    </row>
    <row r="6" spans="2:12" ht="12.75">
      <c r="B6" s="22"/>
      <c r="C6" s="90">
        <v>72</v>
      </c>
      <c r="D6" s="90"/>
      <c r="E6" s="89">
        <v>73</v>
      </c>
      <c r="F6" s="90"/>
      <c r="G6" s="90">
        <v>74</v>
      </c>
      <c r="H6" s="90"/>
      <c r="I6" s="90">
        <v>75</v>
      </c>
      <c r="J6" s="88"/>
      <c r="K6" s="90">
        <v>76</v>
      </c>
      <c r="L6" s="22"/>
    </row>
    <row r="7" spans="2:12" ht="12.75">
      <c r="B7" s="90">
        <v>87</v>
      </c>
      <c r="C7" s="90"/>
      <c r="D7" s="90">
        <v>68</v>
      </c>
      <c r="E7" s="89"/>
      <c r="F7" s="90">
        <v>69</v>
      </c>
      <c r="G7" s="90"/>
      <c r="H7" s="90">
        <v>70</v>
      </c>
      <c r="I7" s="90"/>
      <c r="J7" s="88">
        <v>71</v>
      </c>
      <c r="K7" s="90"/>
      <c r="L7" s="90">
        <v>91</v>
      </c>
    </row>
    <row r="8" spans="2:12" ht="12.75">
      <c r="B8" s="90"/>
      <c r="C8" s="90">
        <v>63</v>
      </c>
      <c r="D8" s="90"/>
      <c r="E8" s="89">
        <v>64</v>
      </c>
      <c r="F8" s="90"/>
      <c r="G8" s="90">
        <v>65</v>
      </c>
      <c r="H8" s="90"/>
      <c r="I8" s="90">
        <v>66</v>
      </c>
      <c r="J8" s="88"/>
      <c r="K8" s="90">
        <v>67</v>
      </c>
      <c r="L8" s="90"/>
    </row>
    <row r="9" spans="2:12" ht="12.75">
      <c r="B9" s="90">
        <v>57</v>
      </c>
      <c r="C9" s="90"/>
      <c r="D9" s="90">
        <v>58</v>
      </c>
      <c r="E9" s="89"/>
      <c r="F9" s="90">
        <v>59</v>
      </c>
      <c r="G9" s="90"/>
      <c r="H9" s="90">
        <v>60</v>
      </c>
      <c r="I9" s="90"/>
      <c r="J9" s="88">
        <v>61</v>
      </c>
      <c r="K9" s="90"/>
      <c r="L9" s="90">
        <v>62</v>
      </c>
    </row>
    <row r="10" spans="2:12" ht="12.75">
      <c r="B10" s="90"/>
      <c r="C10" s="90">
        <v>52</v>
      </c>
      <c r="D10" s="90"/>
      <c r="E10" s="89">
        <v>53</v>
      </c>
      <c r="F10" s="90"/>
      <c r="G10" s="90">
        <v>54</v>
      </c>
      <c r="H10" s="90"/>
      <c r="I10" s="90">
        <v>55</v>
      </c>
      <c r="J10" s="88"/>
      <c r="K10" s="90">
        <v>56</v>
      </c>
      <c r="L10" s="90"/>
    </row>
    <row r="11" spans="2:12" ht="12.75">
      <c r="B11" s="90">
        <v>46</v>
      </c>
      <c r="C11" s="90"/>
      <c r="D11" s="90">
        <v>47</v>
      </c>
      <c r="E11" s="89"/>
      <c r="F11" s="90">
        <v>48</v>
      </c>
      <c r="G11" s="90"/>
      <c r="H11" s="90">
        <v>49</v>
      </c>
      <c r="I11" s="90"/>
      <c r="J11" s="88">
        <v>50</v>
      </c>
      <c r="K11" s="90"/>
      <c r="L11" s="90">
        <v>51</v>
      </c>
    </row>
    <row r="12" spans="2:12" ht="12.75">
      <c r="B12" s="90"/>
      <c r="C12" s="90">
        <v>41</v>
      </c>
      <c r="D12" s="90"/>
      <c r="E12" s="89">
        <v>42</v>
      </c>
      <c r="F12" s="90"/>
      <c r="G12" s="90">
        <v>43</v>
      </c>
      <c r="H12" s="90"/>
      <c r="I12" s="90">
        <v>44</v>
      </c>
      <c r="J12" s="88"/>
      <c r="K12" s="90">
        <v>45</v>
      </c>
      <c r="L12" s="90"/>
    </row>
    <row r="13" spans="2:12" ht="12.75">
      <c r="B13" s="90">
        <v>35</v>
      </c>
      <c r="C13" s="90"/>
      <c r="D13" s="90">
        <v>36</v>
      </c>
      <c r="E13" s="89"/>
      <c r="F13" s="90">
        <v>37</v>
      </c>
      <c r="G13" s="90"/>
      <c r="H13" s="90">
        <v>38</v>
      </c>
      <c r="I13" s="90"/>
      <c r="J13" s="88">
        <v>39</v>
      </c>
      <c r="K13" s="90"/>
      <c r="L13" s="90">
        <v>40</v>
      </c>
    </row>
    <row r="14" spans="2:12" ht="12.75">
      <c r="B14" s="90"/>
      <c r="C14" s="90">
        <v>30</v>
      </c>
      <c r="D14" s="90"/>
      <c r="E14" s="89">
        <v>31</v>
      </c>
      <c r="F14" s="90"/>
      <c r="G14" s="90">
        <v>32</v>
      </c>
      <c r="H14" s="90"/>
      <c r="I14" s="90">
        <v>33</v>
      </c>
      <c r="J14" s="88"/>
      <c r="K14" s="90">
        <v>34</v>
      </c>
      <c r="L14" s="90"/>
    </row>
    <row r="15" spans="2:12" ht="12.75">
      <c r="B15" s="90">
        <v>24</v>
      </c>
      <c r="C15" s="90"/>
      <c r="D15" s="90">
        <v>25</v>
      </c>
      <c r="E15" s="89"/>
      <c r="F15" s="90">
        <v>26</v>
      </c>
      <c r="G15" s="90"/>
      <c r="H15" s="90">
        <v>27</v>
      </c>
      <c r="I15" s="90"/>
      <c r="J15" s="88">
        <v>28</v>
      </c>
      <c r="K15" s="90"/>
      <c r="L15" s="90">
        <v>29</v>
      </c>
    </row>
    <row r="16" spans="2:12" ht="12.75">
      <c r="B16" s="90"/>
      <c r="C16" s="90">
        <v>19</v>
      </c>
      <c r="D16" s="90"/>
      <c r="E16" s="89">
        <v>20</v>
      </c>
      <c r="F16" s="90"/>
      <c r="G16" s="90">
        <v>21</v>
      </c>
      <c r="H16" s="90"/>
      <c r="I16" s="90">
        <v>22</v>
      </c>
      <c r="J16" s="88"/>
      <c r="K16" s="90">
        <v>23</v>
      </c>
      <c r="L16" s="90"/>
    </row>
    <row r="17" spans="2:12" ht="12.75">
      <c r="B17" s="90">
        <v>88</v>
      </c>
      <c r="C17" s="90"/>
      <c r="D17" s="90">
        <v>15</v>
      </c>
      <c r="E17" s="89"/>
      <c r="F17" s="90">
        <v>16</v>
      </c>
      <c r="G17" s="90"/>
      <c r="H17" s="90">
        <v>17</v>
      </c>
      <c r="I17" s="90"/>
      <c r="J17" s="88">
        <v>18</v>
      </c>
      <c r="K17" s="90"/>
      <c r="L17" s="90">
        <v>90</v>
      </c>
    </row>
    <row r="18" spans="2:12" ht="12.75">
      <c r="B18" s="90"/>
      <c r="C18" s="90">
        <v>10</v>
      </c>
      <c r="D18" s="90"/>
      <c r="E18" s="89">
        <v>11</v>
      </c>
      <c r="F18" s="90"/>
      <c r="G18" s="90">
        <v>12</v>
      </c>
      <c r="H18" s="90"/>
      <c r="I18" s="90">
        <v>13</v>
      </c>
      <c r="J18" s="88"/>
      <c r="K18" s="90">
        <v>14</v>
      </c>
      <c r="L18" s="90"/>
    </row>
    <row r="19" spans="2:12" ht="12.75">
      <c r="B19" s="22"/>
      <c r="C19" s="90"/>
      <c r="D19" s="90">
        <v>6</v>
      </c>
      <c r="E19" s="89"/>
      <c r="F19" s="90">
        <v>7</v>
      </c>
      <c r="G19" s="90"/>
      <c r="H19" s="90">
        <v>8</v>
      </c>
      <c r="I19" s="90"/>
      <c r="J19" s="88">
        <v>9</v>
      </c>
      <c r="K19" s="90"/>
      <c r="L19" s="22"/>
    </row>
    <row r="20" spans="2:12" ht="12.75">
      <c r="B20" s="22"/>
      <c r="C20" s="22"/>
      <c r="D20" s="90"/>
      <c r="E20" s="89">
        <v>3</v>
      </c>
      <c r="F20" s="90"/>
      <c r="G20" s="90">
        <v>4</v>
      </c>
      <c r="H20" s="90"/>
      <c r="I20" s="90">
        <v>5</v>
      </c>
      <c r="J20" s="88"/>
      <c r="K20" s="22"/>
      <c r="L20" s="22"/>
    </row>
    <row r="21" spans="2:12" ht="12.75">
      <c r="B21" s="22"/>
      <c r="C21" s="22"/>
      <c r="D21" s="22"/>
      <c r="E21" s="89"/>
      <c r="F21" s="90">
        <v>1</v>
      </c>
      <c r="G21" s="90"/>
      <c r="H21" s="90">
        <v>2</v>
      </c>
      <c r="I21" s="90"/>
      <c r="J21" s="22"/>
      <c r="K21" s="22"/>
      <c r="L21" s="22"/>
    </row>
    <row r="22" spans="2:12" ht="12.75">
      <c r="B22" s="22"/>
      <c r="C22" s="22"/>
      <c r="D22" s="22"/>
      <c r="E22" s="22"/>
      <c r="F22" s="90"/>
      <c r="G22" s="90">
        <v>89</v>
      </c>
      <c r="H22" s="90"/>
      <c r="I22" s="22"/>
      <c r="J22" s="22"/>
      <c r="K22" s="22"/>
      <c r="L22" s="22"/>
    </row>
    <row r="23" spans="2:12" ht="12.75">
      <c r="B23" s="22"/>
      <c r="C23" s="22"/>
      <c r="D23" s="22"/>
      <c r="E23" s="22"/>
      <c r="F23" s="22"/>
      <c r="G23" s="90"/>
      <c r="H23" s="22"/>
      <c r="I23" s="22"/>
      <c r="J23" s="22"/>
      <c r="K23" s="22"/>
      <c r="L23" s="22"/>
    </row>
    <row r="25" spans="6:22" ht="12.75">
      <c r="F25" t="s">
        <v>17</v>
      </c>
      <c r="V25" t="s">
        <v>23</v>
      </c>
    </row>
    <row r="26" spans="2:35" ht="12.75">
      <c r="B26" s="22"/>
      <c r="C26" s="22"/>
      <c r="D26" s="22"/>
      <c r="E26" s="22"/>
      <c r="F26" s="22"/>
      <c r="G26" s="85">
        <f>[0]!e_86</f>
        <v>0</v>
      </c>
      <c r="H26" s="22"/>
      <c r="I26" s="22"/>
      <c r="J26" s="22"/>
      <c r="K26" s="22"/>
      <c r="L26" s="22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4">
        <f>[0]!e_54+[0]!e_65+[0]!e_74+[0]!e_82+[0]!e_86</f>
        <v>-0.14866666666666667</v>
      </c>
      <c r="Y26" s="25">
        <f>[0]!e_54+[0]!e_65+[0]!e_74+[0]!e_82+[0]!e_86</f>
        <v>-0.14866666666666667</v>
      </c>
      <c r="Z26" s="23"/>
      <c r="AA26" s="23"/>
      <c r="AB26" s="23"/>
      <c r="AC26" s="23"/>
      <c r="AD26" s="23"/>
      <c r="AE26" s="23"/>
      <c r="AF26" s="23"/>
      <c r="AG26" s="23"/>
      <c r="AH26" s="23"/>
      <c r="AI26" s="23"/>
    </row>
    <row r="27" spans="2:35" ht="12.75">
      <c r="B27" s="22"/>
      <c r="C27" s="22"/>
      <c r="D27" s="22"/>
      <c r="E27" s="22"/>
      <c r="F27" s="85">
        <f>[0]!e_84</f>
        <v>-0.021</v>
      </c>
      <c r="G27" s="86"/>
      <c r="H27" s="85">
        <f>[0]!e_85</f>
        <v>0.024</v>
      </c>
      <c r="I27" s="22"/>
      <c r="J27" s="22"/>
      <c r="K27" s="22"/>
      <c r="L27" s="22"/>
      <c r="N27" s="23"/>
      <c r="O27" s="23"/>
      <c r="P27" s="23"/>
      <c r="Q27" s="23"/>
      <c r="R27" s="23"/>
      <c r="S27" s="23"/>
      <c r="T27" s="23"/>
      <c r="U27" s="23"/>
      <c r="V27" s="24">
        <f>[0]!e_48+[0]!e_59+[0]!e_69+[0]!e_78+[0]!e_84</f>
        <v>-0.13883333333333336</v>
      </c>
      <c r="W27" s="24">
        <f>[0]!e_48+[0]!e_59+[0]!e_69+[0]!e_78+[0]!e_84</f>
        <v>-0.13883333333333336</v>
      </c>
      <c r="X27" s="26">
        <f>[0]!e_54+[0]!e_65+[0]!e_74+[0]!e_82+[0]!e_86</f>
        <v>-0.14866666666666667</v>
      </c>
      <c r="Y27" s="27">
        <f>[0]!e_54+[0]!e_65+[0]!e_74+[0]!e_82+[0]!e_86</f>
        <v>-0.14866666666666667</v>
      </c>
      <c r="Z27" s="24">
        <f>[0]!e_49+[0]!e_60+[0]!e_70+[0]!e_79+[0]!e_85</f>
        <v>-0.13100000000000003</v>
      </c>
      <c r="AA27" s="25">
        <f>[0]!e_49+[0]!e_60+[0]!e_70+[0]!e_79+[0]!e_85</f>
        <v>-0.13100000000000003</v>
      </c>
      <c r="AB27" s="23"/>
      <c r="AC27" s="23"/>
      <c r="AD27" s="23"/>
      <c r="AE27" s="23"/>
      <c r="AF27" s="23"/>
      <c r="AG27" s="23"/>
      <c r="AH27" s="23"/>
      <c r="AI27" s="23"/>
    </row>
    <row r="28" spans="2:35" ht="12.75">
      <c r="B28" s="22"/>
      <c r="C28" s="22"/>
      <c r="D28" s="22"/>
      <c r="E28" s="85">
        <f>[0]!e_81</f>
        <v>0.008666666666666666</v>
      </c>
      <c r="F28" s="86"/>
      <c r="G28" s="85">
        <f>[0]!e_82</f>
        <v>-0.028999999999999998</v>
      </c>
      <c r="H28" s="86"/>
      <c r="I28" s="85">
        <f>[0]!e_83</f>
        <v>0.2265</v>
      </c>
      <c r="J28" s="22"/>
      <c r="K28" s="22"/>
      <c r="L28" s="22"/>
      <c r="N28" s="23"/>
      <c r="O28" s="23"/>
      <c r="P28" s="23"/>
      <c r="Q28" s="23"/>
      <c r="R28" s="23"/>
      <c r="S28" s="23"/>
      <c r="T28" s="24">
        <f>[0]!e_48+[0]!e_53+[0]!e_64+[0]!e_73+[0]!e_81</f>
        <v>0.005333333333333334</v>
      </c>
      <c r="U28" s="25">
        <f>[0]!e_48+[0]!e_53+[0]!e_64+[0]!e_73+[0]!e_81</f>
        <v>0.005333333333333334</v>
      </c>
      <c r="V28" s="24">
        <f>[0]!e_48+[0]!e_59+[0]!e_69+[0]!e_78+[0]!e_84</f>
        <v>-0.13883333333333336</v>
      </c>
      <c r="W28" s="24">
        <f>[0]!e_48+[0]!e_59+[0]!e_69+[0]!e_78+[0]!e_84</f>
        <v>-0.13883333333333336</v>
      </c>
      <c r="X28" s="24">
        <f>[0]!e_54+[0]!e_65+[0]!e_74+[0]!e_82</f>
        <v>-0.14866666666666667</v>
      </c>
      <c r="Y28" s="25">
        <f>[0]!e_54+[0]!e_65+[0]!e_74+[0]!e_82</f>
        <v>-0.14866666666666667</v>
      </c>
      <c r="Z28" s="26">
        <f>[0]!e_49+[0]!e_60+[0]!e_70+[0]!e_79+[0]!e_85</f>
        <v>-0.13100000000000003</v>
      </c>
      <c r="AA28" s="27">
        <f>[0]!e_49+[0]!e_60+[0]!e_70+[0]!e_79+[0]!e_85</f>
        <v>-0.13100000000000003</v>
      </c>
      <c r="AB28" s="24">
        <f>[0]!e_49+[0]!e_55+[0]!e_66+[0]!e_75+[0]!e_83</f>
        <v>0.04100000000000001</v>
      </c>
      <c r="AC28" s="24">
        <f>[0]!e_49+[0]!e_55+[0]!e_66+[0]!e_75+[0]!e_83</f>
        <v>0.04100000000000001</v>
      </c>
      <c r="AD28" s="23"/>
      <c r="AE28" s="23"/>
      <c r="AF28" s="23"/>
      <c r="AG28" s="23"/>
      <c r="AH28" s="23"/>
      <c r="AI28" s="23"/>
    </row>
    <row r="29" spans="2:35" ht="12.75">
      <c r="B29" s="22"/>
      <c r="C29" s="22"/>
      <c r="D29" s="85">
        <f>[0]!e_77</f>
        <v>0.0015</v>
      </c>
      <c r="E29" s="86"/>
      <c r="F29" s="85">
        <f>[0]!e_78</f>
        <v>-0.007166666666666667</v>
      </c>
      <c r="G29" s="86"/>
      <c r="H29" s="85">
        <f>[0]!e_79</f>
        <v>-0.03716666666666667</v>
      </c>
      <c r="I29" s="86"/>
      <c r="J29" s="85">
        <f>[0]!e_80</f>
        <v>-0.03900000000000001</v>
      </c>
      <c r="K29" s="22"/>
      <c r="L29" s="22"/>
      <c r="N29" s="23"/>
      <c r="O29" s="23"/>
      <c r="P29" s="23"/>
      <c r="Q29" s="23"/>
      <c r="R29" s="24">
        <f>[0]!e_48+[0]!e_53+[0]!e_58+[0]!e_68+[0]!e_77</f>
        <v>-0.041499999999999995</v>
      </c>
      <c r="S29" s="25">
        <f>[0]!e_48+[0]!e_53+[0]!e_58+[0]!e_68+[0]!e_77</f>
        <v>-0.041499999999999995</v>
      </c>
      <c r="T29" s="26">
        <f>[0]!e_48+[0]!e_53+[0]!e_64+[0]!e_73+[0]!e_81</f>
        <v>0.005333333333333334</v>
      </c>
      <c r="U29" s="27">
        <f>[0]!e_48+[0]!e_53+[0]!e_64+[0]!e_73+[0]!e_81</f>
        <v>0.005333333333333334</v>
      </c>
      <c r="V29" s="24">
        <f>[0]!e_48+[0]!e_59+[0]!e_69+[0]!e_78</f>
        <v>-0.11783333333333336</v>
      </c>
      <c r="W29" s="25">
        <f>[0]!e_48+[0]!e_59+[0]!e_69+[0]!e_78</f>
        <v>-0.11783333333333336</v>
      </c>
      <c r="X29" s="26">
        <f>[0]!e_54+[0]!e_65+[0]!e_74+[0]!e_82</f>
        <v>-0.14866666666666667</v>
      </c>
      <c r="Y29" s="27">
        <f>[0]!e_54+[0]!e_65+[0]!e_74+[0]!e_82</f>
        <v>-0.14866666666666667</v>
      </c>
      <c r="Z29" s="24">
        <f>[0]!e_49+[0]!e_60+[0]!e_70+[0]!e_79</f>
        <v>-0.15500000000000003</v>
      </c>
      <c r="AA29" s="25">
        <f>[0]!e_49+[0]!e_60+[0]!e_70+[0]!e_79</f>
        <v>-0.15500000000000003</v>
      </c>
      <c r="AB29" s="24">
        <f>[0]!e_49+[0]!e_55+[0]!e_66+[0]!e_75+[0]!e_83</f>
        <v>0.04100000000000001</v>
      </c>
      <c r="AC29" s="24">
        <f>[0]!e_49+[0]!e_55+[0]!e_66+[0]!e_75+[0]!e_83</f>
        <v>0.04100000000000001</v>
      </c>
      <c r="AD29" s="24">
        <f>[0]!e_49+[0]!e_55+[0]!e_61+[0]!e_71+[0]!e_80</f>
        <v>-0.2245</v>
      </c>
      <c r="AE29" s="25">
        <f>[0]!e_49+[0]!e_55+[0]!e_61+[0]!e_71+[0]!e_80</f>
        <v>-0.2245</v>
      </c>
      <c r="AF29" s="23"/>
      <c r="AG29" s="23"/>
      <c r="AH29" s="23"/>
      <c r="AI29" s="23"/>
    </row>
    <row r="30" spans="2:35" ht="12.75">
      <c r="B30" s="22"/>
      <c r="C30" s="85">
        <f>[0]!e_72</f>
        <v>0.008</v>
      </c>
      <c r="D30" s="86"/>
      <c r="E30" s="85">
        <f>[0]!e_73</f>
        <v>-0.0015</v>
      </c>
      <c r="F30" s="86"/>
      <c r="G30" s="85">
        <f>[0]!e_74</f>
        <v>-0.03966666666666667</v>
      </c>
      <c r="H30" s="86"/>
      <c r="I30" s="85">
        <f>[0]!e_75</f>
        <v>-0.04116666666666667</v>
      </c>
      <c r="J30" s="86"/>
      <c r="K30" s="85">
        <f>[0]!e_76</f>
        <v>-0.191</v>
      </c>
      <c r="L30" s="22"/>
      <c r="N30" s="23"/>
      <c r="O30" s="23"/>
      <c r="P30" s="24">
        <f>[0]!e_48+[0]!e_53+[0]!e_58+[0]!e_63+[0]!e_72</f>
        <v>-0.026833333333333327</v>
      </c>
      <c r="Q30" s="24">
        <f>[0]!e_48+[0]!e_53+[0]!e_58+[0]!e_63+[0]!e_72</f>
        <v>-0.026833333333333327</v>
      </c>
      <c r="R30" s="26">
        <f>[0]!e_48+[0]!e_53+[0]!e_58+[0]!e_68+[0]!e_77</f>
        <v>-0.041499999999999995</v>
      </c>
      <c r="S30" s="27">
        <f>[0]!e_48+[0]!e_53+[0]!e_58+[0]!e_68+[0]!e_77</f>
        <v>-0.041499999999999995</v>
      </c>
      <c r="T30" s="24">
        <f>[0]!e_48+[0]!e_53+[0]!e_64+[0]!e_73</f>
        <v>-0.0033333333333333327</v>
      </c>
      <c r="U30" s="25">
        <f>[0]!e_48+[0]!e_53+[0]!e_64+[0]!e_73</f>
        <v>-0.0033333333333333327</v>
      </c>
      <c r="V30" s="26">
        <f>[0]!e_48+[0]!e_59+[0]!e_69+[0]!e_78</f>
        <v>-0.11783333333333336</v>
      </c>
      <c r="W30" s="27">
        <f>[0]!e_48+[0]!e_59+[0]!e_69+[0]!e_78</f>
        <v>-0.11783333333333336</v>
      </c>
      <c r="X30" s="24">
        <f>[0]!e_54+[0]!e_65+[0]!e_74</f>
        <v>-0.11966666666666667</v>
      </c>
      <c r="Y30" s="25">
        <f>[0]!e_54+[0]!e_65+[0]!e_74</f>
        <v>-0.11966666666666667</v>
      </c>
      <c r="Z30" s="26">
        <f>[0]!e_49+[0]!e_60+[0]!e_70+[0]!e_79</f>
        <v>-0.15500000000000003</v>
      </c>
      <c r="AA30" s="27">
        <f>[0]!e_49+[0]!e_60+[0]!e_70+[0]!e_79</f>
        <v>-0.15500000000000003</v>
      </c>
      <c r="AB30" s="24">
        <f>[0]!e_49+[0]!e_55+[0]!e_66+[0]!e_75</f>
        <v>-0.1855</v>
      </c>
      <c r="AC30" s="25">
        <f>[0]!e_49+[0]!e_55+[0]!e_66+[0]!e_75</f>
        <v>-0.1855</v>
      </c>
      <c r="AD30" s="26">
        <f>[0]!e_49+[0]!e_55+[0]!e_61+[0]!e_71+[0]!e_80</f>
        <v>-0.2245</v>
      </c>
      <c r="AE30" s="27">
        <f>[0]!e_49+[0]!e_55+[0]!e_61+[0]!e_71+[0]!e_80</f>
        <v>-0.2245</v>
      </c>
      <c r="AF30" s="24">
        <f>[0]!e_49+[0]!e_55+[0]!e_61+[0]!e_67+[0]!e_76</f>
        <v>-0.45366666666666666</v>
      </c>
      <c r="AG30" s="25">
        <f>[0]!e_49+[0]!e_55+[0]!e_61+[0]!e_67+[0]!e_76</f>
        <v>-0.45366666666666666</v>
      </c>
      <c r="AH30" s="29"/>
      <c r="AI30" s="23"/>
    </row>
    <row r="31" spans="2:35" ht="12.75">
      <c r="B31" s="85">
        <f>[0]!e_87</f>
        <v>-0.007833333333333333</v>
      </c>
      <c r="C31" s="86"/>
      <c r="D31" s="85">
        <f>[0]!e_69</f>
        <v>-0.04650000000000001</v>
      </c>
      <c r="E31" s="86"/>
      <c r="F31" s="85">
        <f>[0]!e_69</f>
        <v>-0.04650000000000001</v>
      </c>
      <c r="G31" s="86"/>
      <c r="H31" s="85">
        <f>[0]!e_70</f>
        <v>-0.03633333333333333</v>
      </c>
      <c r="I31" s="86"/>
      <c r="J31" s="85">
        <f>[0]!e_71</f>
        <v>-0.04733333333333333</v>
      </c>
      <c r="K31" s="86"/>
      <c r="L31" s="85">
        <f>[0]!e_91</f>
        <v>-0.269</v>
      </c>
      <c r="N31" s="24">
        <f>[0]!e_48+[0]!e_53+[0]!e_58+[0]!e_63+[0]!e_87</f>
        <v>-0.04266666666666666</v>
      </c>
      <c r="O31" s="25">
        <f>[0]!e_48+[0]!e_53+[0]!e_58+[0]!e_63+[0]!e_87</f>
        <v>-0.04266666666666666</v>
      </c>
      <c r="P31" s="24">
        <f>[0]!e_48+[0]!e_53+[0]!e_58+[0]!e_63+[0]!e_72</f>
        <v>-0.026833333333333327</v>
      </c>
      <c r="Q31" s="24">
        <f>[0]!e_48+[0]!e_53+[0]!e_58+[0]!e_63+[0]!e_72</f>
        <v>-0.026833333333333327</v>
      </c>
      <c r="R31" s="24">
        <f>[0]!e_48+[0]!e_53+[0]!e_58+[0]!e_68</f>
        <v>-0.043</v>
      </c>
      <c r="S31" s="25">
        <f>[0]!e_48+[0]!e_53+[0]!e_58+[0]!e_68</f>
        <v>-0.043</v>
      </c>
      <c r="T31" s="26">
        <f>[0]!e_48+[0]!e_53+[0]!e_64+[0]!e_73</f>
        <v>-0.0033333333333333327</v>
      </c>
      <c r="U31" s="27">
        <f>[0]!e_48+[0]!e_53+[0]!e_64+[0]!e_73</f>
        <v>-0.0033333333333333327</v>
      </c>
      <c r="V31" s="24">
        <f>[0]!e_48+[0]!e_59+[0]!e_69</f>
        <v>-0.11066666666666669</v>
      </c>
      <c r="W31" s="25">
        <f>[0]!e_48+[0]!e_59+[0]!e_69</f>
        <v>-0.11066666666666669</v>
      </c>
      <c r="X31" s="26">
        <f>[0]!e_54+[0]!e_65+[0]!e_74</f>
        <v>-0.11966666666666667</v>
      </c>
      <c r="Y31" s="27">
        <f>[0]!e_54+[0]!e_65+[0]!e_74</f>
        <v>-0.11966666666666667</v>
      </c>
      <c r="Z31" s="24">
        <f>[0]!e_49+[0]!e_60+[0]!e_70</f>
        <v>-0.11783333333333335</v>
      </c>
      <c r="AA31" s="25">
        <f>[0]!e_49+[0]!e_60+[0]!e_70</f>
        <v>-0.11783333333333335</v>
      </c>
      <c r="AB31" s="26">
        <f>[0]!e_49+[0]!e_55+[0]!e_66+[0]!e_75</f>
        <v>-0.1855</v>
      </c>
      <c r="AC31" s="27">
        <f>[0]!e_49+[0]!e_55+[0]!e_66+[0]!e_75</f>
        <v>-0.1855</v>
      </c>
      <c r="AD31" s="24">
        <f>[0]!e_49+[0]!e_55+[0]!e_61+[0]!e_71</f>
        <v>-0.1855</v>
      </c>
      <c r="AE31" s="25">
        <f>[0]!e_49+[0]!e_55+[0]!e_61+[0]!e_71</f>
        <v>-0.1855</v>
      </c>
      <c r="AF31" s="26">
        <f>[0]!e_49+[0]!e_55+[0]!e_61+[0]!e_67+[0]!e_76</f>
        <v>-0.45366666666666666</v>
      </c>
      <c r="AG31" s="27">
        <f>[0]!e_49+[0]!e_55+[0]!e_61+[0]!e_67+[0]!e_76</f>
        <v>-0.45366666666666666</v>
      </c>
      <c r="AH31" s="28">
        <f>[0]!e_49+[0]!e_55+[0]!e_61+[0]!e_67+[0]!e_91</f>
        <v>-0.5316666666666667</v>
      </c>
      <c r="AI31" s="25">
        <f>[0]!e_49+[0]!e_55+[0]!e_61+[0]!e_67+[0]!e_91</f>
        <v>-0.5316666666666667</v>
      </c>
    </row>
    <row r="32" spans="2:35" ht="12.75">
      <c r="B32" s="86"/>
      <c r="C32" s="85">
        <f>[0]!e_63</f>
        <v>-0.0031666666666666666</v>
      </c>
      <c r="D32" s="86"/>
      <c r="E32" s="85">
        <f>[0]!e_64</f>
        <v>0.018333333333333333</v>
      </c>
      <c r="F32" s="86"/>
      <c r="G32" s="85">
        <f>[0]!e_65</f>
        <v>-0.0405</v>
      </c>
      <c r="H32" s="86"/>
      <c r="I32" s="85">
        <f>[0]!e_66</f>
        <v>-0.04883333333333334</v>
      </c>
      <c r="J32" s="86"/>
      <c r="K32" s="85">
        <f>[0]!e_67</f>
        <v>-0.1245</v>
      </c>
      <c r="L32" s="86"/>
      <c r="N32" s="26">
        <f>[0]!e_48+[0]!e_53+[0]!e_58+[0]!e_63+[0]!e_87</f>
        <v>-0.04266666666666666</v>
      </c>
      <c r="O32" s="27">
        <f>[0]!e_48+[0]!e_53+[0]!e_58+[0]!e_63+[0]!e_87</f>
        <v>-0.04266666666666666</v>
      </c>
      <c r="P32" s="24">
        <f>[0]!e_48+[0]!e_53+[0]!e_58+[0]!e_63</f>
        <v>-0.03483333333333333</v>
      </c>
      <c r="Q32" s="25">
        <f>[0]!e_48+[0]!e_53+[0]!e_58+[0]!e_63</f>
        <v>-0.03483333333333333</v>
      </c>
      <c r="R32" s="26">
        <f>[0]!e_48+[0]!e_53+[0]!e_58+[0]!e_68</f>
        <v>-0.043</v>
      </c>
      <c r="S32" s="27">
        <f>[0]!e_48+[0]!e_53+[0]!e_58+[0]!e_68</f>
        <v>-0.043</v>
      </c>
      <c r="T32" s="24">
        <f>[0]!e_48+[0]!e_53+[0]!e_64</f>
        <v>-0.0018333333333333326</v>
      </c>
      <c r="U32" s="25">
        <f>[0]!e_48+[0]!e_53+[0]!e_64</f>
        <v>-0.0018333333333333326</v>
      </c>
      <c r="V32" s="26">
        <f>[0]!e_48+[0]!e_59+[0]!e_69</f>
        <v>-0.11066666666666669</v>
      </c>
      <c r="W32" s="27">
        <f>[0]!e_48+[0]!e_59+[0]!e_69</f>
        <v>-0.11066666666666669</v>
      </c>
      <c r="X32" s="24">
        <f>[0]!e_54+[0]!e_65</f>
        <v>-0.08</v>
      </c>
      <c r="Y32" s="25">
        <f>[0]!e_54+[0]!e_65</f>
        <v>-0.08</v>
      </c>
      <c r="Z32" s="26">
        <f>[0]!e_49+[0]!e_60+[0]!e_70</f>
        <v>-0.11783333333333335</v>
      </c>
      <c r="AA32" s="27">
        <f>[0]!e_49+[0]!e_60+[0]!e_70</f>
        <v>-0.11783333333333335</v>
      </c>
      <c r="AB32" s="24">
        <f>[0]!e_49+[0]!e_55+[0]!e_66</f>
        <v>-0.14433333333333334</v>
      </c>
      <c r="AC32" s="25">
        <f>[0]!e_49+[0]!e_55+[0]!e_66</f>
        <v>-0.14433333333333334</v>
      </c>
      <c r="AD32" s="26">
        <f>[0]!e_49+[0]!e_55+[0]!e_61+[0]!e_71</f>
        <v>-0.1855</v>
      </c>
      <c r="AE32" s="27">
        <f>[0]!e_49+[0]!e_55+[0]!e_61+[0]!e_71</f>
        <v>-0.1855</v>
      </c>
      <c r="AF32" s="24">
        <f>[0]!e_49+[0]!e_55+[0]!e_61+[0]!e_67</f>
        <v>-0.26266666666666666</v>
      </c>
      <c r="AG32" s="25">
        <f>[0]!e_49+[0]!e_55+[0]!e_61+[0]!e_67</f>
        <v>-0.26266666666666666</v>
      </c>
      <c r="AH32" s="26">
        <f>[0]!e_49+[0]!e_55+[0]!e_61+[0]!e_67+[0]!e_91</f>
        <v>-0.5316666666666667</v>
      </c>
      <c r="AI32" s="27">
        <f>[0]!e_49+[0]!e_55+[0]!e_61+[0]!e_67+[0]!e_91</f>
        <v>-0.5316666666666667</v>
      </c>
    </row>
    <row r="33" spans="2:35" ht="12.75">
      <c r="B33" s="85">
        <f>[0]!e_57</f>
        <v>0.015</v>
      </c>
      <c r="C33" s="86"/>
      <c r="D33" s="85">
        <f>[0]!e_58</f>
        <v>-0.0115</v>
      </c>
      <c r="E33" s="86"/>
      <c r="F33" s="85">
        <f>[0]!e_59</f>
        <v>-0.053000000000000005</v>
      </c>
      <c r="G33" s="86"/>
      <c r="H33" s="85">
        <f>[0]!e_60</f>
        <v>-0.03900000000000001</v>
      </c>
      <c r="I33" s="86"/>
      <c r="J33" s="85">
        <f>[0]!e_61</f>
        <v>-0.042666666666666665</v>
      </c>
      <c r="K33" s="86"/>
      <c r="L33" s="85">
        <f>[0]!e_62</f>
        <v>0.03816666666666667</v>
      </c>
      <c r="N33" s="24">
        <f>[0]!e_37+[0]!e_42+[0]!e_47+[0]!e_52+[0]!e_57</f>
        <v>0.042333333333333334</v>
      </c>
      <c r="O33" s="25">
        <f>[0]!e_37+[0]!e_42+[0]!e_47+[0]!e_52+[0]!e_57</f>
        <v>0.042333333333333334</v>
      </c>
      <c r="P33" s="26">
        <f>[0]!e_48+[0]!e_53+[0]!e_58+[0]!e_63</f>
        <v>-0.03483333333333333</v>
      </c>
      <c r="Q33" s="27">
        <f>[0]!e_48+[0]!e_53+[0]!e_58+[0]!e_63</f>
        <v>-0.03483333333333333</v>
      </c>
      <c r="R33" s="24">
        <f>[0]!e_48+[0]!e_53+[0]!e_58</f>
        <v>-0.03166666666666666</v>
      </c>
      <c r="S33" s="25">
        <f>[0]!e_48+[0]!e_53+[0]!e_58</f>
        <v>-0.03166666666666666</v>
      </c>
      <c r="T33" s="26">
        <f>[0]!e_48+[0]!e_53+[0]!e_64</f>
        <v>-0.0018333333333333326</v>
      </c>
      <c r="U33" s="27">
        <f>[0]!e_48+[0]!e_53+[0]!e_64</f>
        <v>-0.0018333333333333326</v>
      </c>
      <c r="V33" s="24">
        <f>[0]!e_48+[0]!e_59</f>
        <v>-0.06416666666666668</v>
      </c>
      <c r="W33" s="25">
        <f>[0]!e_48+[0]!e_59</f>
        <v>-0.06416666666666668</v>
      </c>
      <c r="X33" s="26">
        <f>[0]!e_54+[0]!e_65</f>
        <v>-0.08</v>
      </c>
      <c r="Y33" s="27">
        <f>[0]!e_54+[0]!e_65</f>
        <v>-0.08</v>
      </c>
      <c r="Z33" s="24">
        <f>[0]!e_49+[0]!e_60</f>
        <v>-0.08150000000000002</v>
      </c>
      <c r="AA33" s="25">
        <f>[0]!e_49+[0]!e_60</f>
        <v>-0.08150000000000002</v>
      </c>
      <c r="AB33" s="26">
        <f>[0]!e_49+[0]!e_55+[0]!e_66</f>
        <v>-0.14433333333333334</v>
      </c>
      <c r="AC33" s="27">
        <f>[0]!e_49+[0]!e_55+[0]!e_66</f>
        <v>-0.14433333333333334</v>
      </c>
      <c r="AD33" s="24">
        <f>[0]!e_49+[0]!e_55+[0]!e_61</f>
        <v>-0.13816666666666666</v>
      </c>
      <c r="AE33" s="25">
        <f>[0]!e_49+[0]!e_55+[0]!e_61</f>
        <v>-0.13816666666666666</v>
      </c>
      <c r="AF33" s="26">
        <f>[0]!e_49+[0]!e_55+[0]!e_61+[0]!e_67</f>
        <v>-0.26266666666666666</v>
      </c>
      <c r="AG33" s="27">
        <f>[0]!e_49+[0]!e_55+[0]!e_61+[0]!e_67</f>
        <v>-0.26266666666666666</v>
      </c>
      <c r="AH33" s="24">
        <f>[0]!e_38+[0]!e_44+[0]!e_50+[0]!e_56+[0]!e_62</f>
        <v>0.010166666666666668</v>
      </c>
      <c r="AI33" s="25">
        <f>[0]!e_38+[0]!e_44+[0]!e_50+[0]!e_56+[0]!e_62</f>
        <v>0.010166666666666668</v>
      </c>
    </row>
    <row r="34" spans="2:35" ht="12.75">
      <c r="B34" s="86"/>
      <c r="C34" s="85">
        <f>[0]!e_52</f>
        <v>0.01566666666666667</v>
      </c>
      <c r="D34" s="86"/>
      <c r="E34" s="85">
        <f>[0]!e_53</f>
        <v>-0.009000000000000001</v>
      </c>
      <c r="F34" s="86"/>
      <c r="G34" s="85">
        <f>[0]!e_54</f>
        <v>-0.0395</v>
      </c>
      <c r="H34" s="86"/>
      <c r="I34" s="85">
        <f>[0]!e_55</f>
        <v>-0.053000000000000005</v>
      </c>
      <c r="J34" s="86"/>
      <c r="K34" s="85">
        <f>[0]!e_56</f>
        <v>0.0045000000000000005</v>
      </c>
      <c r="L34" s="86"/>
      <c r="N34" s="26">
        <f>[0]!e_37+[0]!e_42+[0]!e_47+[0]!e_52+[0]!e_57</f>
        <v>0.042333333333333334</v>
      </c>
      <c r="O34" s="27">
        <f>[0]!e_37+[0]!e_42+[0]!e_47+[0]!e_52+[0]!e_57</f>
        <v>0.042333333333333334</v>
      </c>
      <c r="P34" s="24">
        <f>[0]!e_37+[0]!e_42+[0]!e_47+[0]!e_52</f>
        <v>0.027333333333333334</v>
      </c>
      <c r="Q34" s="25">
        <f>[0]!e_37+[0]!e_42+[0]!e_47+[0]!e_52</f>
        <v>0.027333333333333334</v>
      </c>
      <c r="R34" s="26">
        <f>[0]!e_48+[0]!e_53+[0]!e_58</f>
        <v>-0.03166666666666666</v>
      </c>
      <c r="S34" s="27">
        <f>[0]!e_48+[0]!e_53+[0]!e_58</f>
        <v>-0.03166666666666666</v>
      </c>
      <c r="T34" s="32">
        <f>[0]!e_48+[0]!e_53</f>
        <v>-0.020166666666666666</v>
      </c>
      <c r="U34" s="33">
        <f>[0]!e_48+[0]!e_53</f>
        <v>-0.020166666666666666</v>
      </c>
      <c r="V34" s="26">
        <f>[0]!e_48+[0]!e_59</f>
        <v>-0.06416666666666668</v>
      </c>
      <c r="W34" s="27">
        <f>[0]!e_48+[0]!e_59</f>
        <v>-0.06416666666666668</v>
      </c>
      <c r="X34" s="24">
        <f>[0]!e_54</f>
        <v>-0.0395</v>
      </c>
      <c r="Y34" s="25">
        <f>[0]!e_54</f>
        <v>-0.0395</v>
      </c>
      <c r="Z34" s="26">
        <f>[0]!e_49+[0]!e_60</f>
        <v>-0.08150000000000002</v>
      </c>
      <c r="AA34" s="27">
        <f>[0]!e_49+[0]!e_60</f>
        <v>-0.08150000000000002</v>
      </c>
      <c r="AB34" s="24">
        <f>[0]!e_49+[0]!e_55</f>
        <v>-0.0955</v>
      </c>
      <c r="AC34" s="25">
        <f>[0]!e_49+[0]!e_55</f>
        <v>-0.0955</v>
      </c>
      <c r="AD34" s="26">
        <f>[0]!e_49+[0]!e_55+[0]!e_61</f>
        <v>-0.13816666666666666</v>
      </c>
      <c r="AE34" s="27">
        <f>[0]!e_49+[0]!e_55+[0]!e_61</f>
        <v>-0.13816666666666666</v>
      </c>
      <c r="AF34" s="24">
        <f>[0]!e_38+[0]!e_44+[0]!e_50+[0]!e_56</f>
        <v>-0.028</v>
      </c>
      <c r="AG34" s="25">
        <f>[0]!e_38+[0]!e_44+[0]!e_50+[0]!e_56</f>
        <v>-0.028</v>
      </c>
      <c r="AH34" s="26">
        <f>[0]!e_38+[0]!e_44+[0]!e_50+[0]!e_56+[0]!e_62</f>
        <v>0.010166666666666668</v>
      </c>
      <c r="AI34" s="27">
        <f>[0]!e_38+[0]!e_44+[0]!e_50+[0]!e_56+[0]!e_62</f>
        <v>0.010166666666666668</v>
      </c>
    </row>
    <row r="35" spans="2:35" ht="12.75">
      <c r="B35" s="85">
        <f>[0]!e_46</f>
        <v>-0.0033333333333333335</v>
      </c>
      <c r="C35" s="86"/>
      <c r="D35" s="85">
        <f>[0]!e_47</f>
        <v>0.0095</v>
      </c>
      <c r="E35" s="86"/>
      <c r="F35" s="85">
        <f>[0]!e_48</f>
        <v>-0.011166666666666667</v>
      </c>
      <c r="G35" s="86"/>
      <c r="H35" s="85">
        <f>[0]!e_49</f>
        <v>-0.0425</v>
      </c>
      <c r="I35" s="86"/>
      <c r="J35" s="85">
        <f>[0]!e_50</f>
        <v>-0.009000000000000001</v>
      </c>
      <c r="K35" s="86"/>
      <c r="L35" s="85">
        <f>[0]!e_51</f>
        <v>0.014000000000000002</v>
      </c>
      <c r="N35" s="24">
        <f>[0]!e_37+[0]!e_31+[0]!e_36+[0]!e_41+[0]!e_46</f>
        <v>-0.007666666666666667</v>
      </c>
      <c r="O35" s="25">
        <f>[0]!e_37+[0]!e_31+[0]!e_36+[0]!e_41+[0]!e_46</f>
        <v>-0.007666666666666667</v>
      </c>
      <c r="P35" s="31">
        <f>[0]!e_37+[0]!e_42+[0]!e_47+[0]!e_52</f>
        <v>0.027333333333333334</v>
      </c>
      <c r="Q35" s="27">
        <f>[0]!e_37+[0]!e_42+[0]!e_47+[0]!e_52</f>
        <v>0.027333333333333334</v>
      </c>
      <c r="R35" s="24">
        <f>[0]!e_37+[0]!e_42+[0]!e_47</f>
        <v>0.011666666666666667</v>
      </c>
      <c r="S35" s="25">
        <f>[0]!e_37+[0]!e_42+[0]!e_47</f>
        <v>0.011666666666666667</v>
      </c>
      <c r="T35" s="34">
        <f>[0]!e_48+[0]!e_53</f>
        <v>-0.020166666666666666</v>
      </c>
      <c r="U35" s="35">
        <f>[0]!e_48+[0]!e_53</f>
        <v>-0.020166666666666666</v>
      </c>
      <c r="V35" s="24">
        <f>[0]!e_48</f>
        <v>-0.011166666666666667</v>
      </c>
      <c r="W35" s="25">
        <f>[0]!e_48</f>
        <v>-0.011166666666666667</v>
      </c>
      <c r="X35" s="26">
        <f>[0]!e_54</f>
        <v>-0.0395</v>
      </c>
      <c r="Y35" s="27">
        <f>[0]!e_54</f>
        <v>-0.0395</v>
      </c>
      <c r="Z35" s="24">
        <f>[0]!e_49</f>
        <v>-0.0425</v>
      </c>
      <c r="AA35" s="25">
        <f>[0]!e_49</f>
        <v>-0.0425</v>
      </c>
      <c r="AB35" s="26">
        <f>[0]!e_49+[0]!e_55</f>
        <v>-0.0955</v>
      </c>
      <c r="AC35" s="27">
        <f>[0]!e_49+[0]!e_55</f>
        <v>-0.0955</v>
      </c>
      <c r="AD35" s="24">
        <f>[0]!e_38+[0]!e_44+[0]!e_50</f>
        <v>-0.0325</v>
      </c>
      <c r="AE35" s="25">
        <f>[0]!e_38+[0]!e_44+[0]!e_50</f>
        <v>-0.0325</v>
      </c>
      <c r="AF35" s="26">
        <f>[0]!e_38+[0]!e_44+[0]!e_50+[0]!e_56</f>
        <v>-0.028</v>
      </c>
      <c r="AG35" s="27">
        <f>[0]!e_38+[0]!e_44+[0]!e_50+[0]!e_56</f>
        <v>-0.028</v>
      </c>
      <c r="AH35" s="24">
        <f>[0]!e_38+[0]!e_33+[0]!e_39+[0]!e_45+[0]!e_51</f>
        <v>-0.042333333333333334</v>
      </c>
      <c r="AI35" s="25">
        <f>[0]!e_38+[0]!e_33+[0]!e_39+[0]!e_45+[0]!e_51</f>
        <v>-0.042333333333333334</v>
      </c>
    </row>
    <row r="36" spans="2:35" ht="12.75">
      <c r="B36" s="86"/>
      <c r="C36" s="85">
        <f>[0]!e_41</f>
        <v>0.003666666666666667</v>
      </c>
      <c r="D36" s="86"/>
      <c r="E36" s="85">
        <f>[0]!e_42</f>
        <v>-0.0025</v>
      </c>
      <c r="F36" s="86"/>
      <c r="G36" s="87"/>
      <c r="H36" s="86"/>
      <c r="I36" s="85">
        <f>[0]!e_44</f>
        <v>-0.01</v>
      </c>
      <c r="J36" s="86"/>
      <c r="K36" s="85">
        <f>[0]!e_45</f>
        <v>-0.0115</v>
      </c>
      <c r="L36" s="86"/>
      <c r="N36" s="26">
        <f>[0]!e_37+[0]!e_31+[0]!e_36+[0]!e_41+[0]!e_46</f>
        <v>-0.007666666666666667</v>
      </c>
      <c r="O36" s="27">
        <f>[0]!e_37+[0]!e_31+[0]!e_36+[0]!e_41+[0]!e_46</f>
        <v>-0.007666666666666667</v>
      </c>
      <c r="P36" s="24">
        <f>[0]!e_37+[0]!e_31+[0]!e_36+[0]!e_41</f>
        <v>-0.004333333333333333</v>
      </c>
      <c r="Q36" s="25">
        <f>[0]!e_37+[0]!e_31+[0]!e_36+[0]!e_41</f>
        <v>-0.004333333333333333</v>
      </c>
      <c r="R36" s="26">
        <f>[0]!e_37+[0]!e_42+[0]!e_47</f>
        <v>0.011666666666666667</v>
      </c>
      <c r="S36" s="27">
        <f>[0]!e_37+[0]!e_42+[0]!e_47</f>
        <v>0.011666666666666667</v>
      </c>
      <c r="T36" s="24">
        <f>[0]!e_37+[0]!e_42</f>
        <v>0.002166666666666667</v>
      </c>
      <c r="U36" s="25">
        <f>[0]!e_37+[0]!e_42</f>
        <v>0.002166666666666667</v>
      </c>
      <c r="V36" s="26">
        <f>[0]!e_48</f>
        <v>-0.011166666666666667</v>
      </c>
      <c r="W36" s="27">
        <f>[0]!e_48</f>
        <v>-0.011166666666666667</v>
      </c>
      <c r="X36" s="24"/>
      <c r="Y36" s="25"/>
      <c r="Z36" s="26">
        <f>[0]!e_49</f>
        <v>-0.0425</v>
      </c>
      <c r="AA36" s="27">
        <f>[0]!e_49</f>
        <v>-0.0425</v>
      </c>
      <c r="AB36" s="24">
        <f>[0]!e_38+[0]!e_44</f>
        <v>-0.0235</v>
      </c>
      <c r="AC36" s="25">
        <f>[0]!e_38+[0]!e_44</f>
        <v>-0.0235</v>
      </c>
      <c r="AD36" s="26">
        <f>[0]!e_38+[0]!e_44+[0]!e_50</f>
        <v>-0.0325</v>
      </c>
      <c r="AE36" s="27">
        <f>[0]!e_38+[0]!e_44+[0]!e_50</f>
        <v>-0.0325</v>
      </c>
      <c r="AF36" s="24">
        <f>[0]!e_38+[0]!e_33+[0]!e_39+[0]!e_45</f>
        <v>-0.05633333333333333</v>
      </c>
      <c r="AG36" s="25">
        <f>[0]!e_38+[0]!e_33+[0]!e_39+[0]!e_45</f>
        <v>-0.05633333333333333</v>
      </c>
      <c r="AH36" s="26">
        <f>[0]!e_38+[0]!e_33+[0]!e_39+[0]!e_45+[0]!e_51</f>
        <v>-0.042333333333333334</v>
      </c>
      <c r="AI36" s="27">
        <f>[0]!e_38+[0]!e_33+[0]!e_39+[0]!e_45+[0]!e_51</f>
        <v>-0.042333333333333334</v>
      </c>
    </row>
    <row r="37" spans="2:35" ht="12.75">
      <c r="B37" s="85">
        <f>[0]!e_35</f>
        <v>0.007000000000000001</v>
      </c>
      <c r="C37" s="86"/>
      <c r="D37" s="85">
        <f>[0]!e_36</f>
        <v>0.0005</v>
      </c>
      <c r="E37" s="86"/>
      <c r="F37" s="85">
        <f>[0]!e_37</f>
        <v>0.004666666666666667</v>
      </c>
      <c r="G37" s="86"/>
      <c r="H37" s="85">
        <f>[0]!e_38</f>
        <v>-0.013500000000000002</v>
      </c>
      <c r="I37" s="86"/>
      <c r="J37" s="85">
        <f>[0]!e_39</f>
        <v>-0.013500000000000002</v>
      </c>
      <c r="K37" s="86"/>
      <c r="L37" s="85">
        <f>[0]!e_40</f>
        <v>0.041833333333333333</v>
      </c>
      <c r="N37" s="24">
        <f>[0]!e_37+[0]!e_31+[0]!e_25+[0]!e_30+[0]!e_35</f>
        <v>0.0075000000000000015</v>
      </c>
      <c r="O37" s="25">
        <f>[0]!e_37+[0]!e_31+[0]!e_25+[0]!e_30+[0]!e_35</f>
        <v>0.0075000000000000015</v>
      </c>
      <c r="P37" s="26">
        <f>[0]!e_37+[0]!e_31+[0]!e_36+[0]!e_41</f>
        <v>-0.004333333333333333</v>
      </c>
      <c r="Q37" s="27">
        <f>[0]!e_37+[0]!e_31+[0]!e_36+[0]!e_41</f>
        <v>-0.004333333333333333</v>
      </c>
      <c r="R37" s="24">
        <f>[0]!e_37+[0]!e_31+[0]!e_36</f>
        <v>-0.008</v>
      </c>
      <c r="S37" s="25">
        <f>[0]!e_37+[0]!e_31+[0]!e_36</f>
        <v>-0.008</v>
      </c>
      <c r="T37" s="26">
        <f>[0]!e_37+[0]!e_42</f>
        <v>0.002166666666666667</v>
      </c>
      <c r="U37" s="27">
        <f>[0]!e_37+[0]!e_42</f>
        <v>0.002166666666666667</v>
      </c>
      <c r="V37" s="24">
        <f>[0]!e_37</f>
        <v>0.004666666666666667</v>
      </c>
      <c r="W37" s="25">
        <f>[0]!e_37</f>
        <v>0.004666666666666667</v>
      </c>
      <c r="X37" s="26"/>
      <c r="Y37" s="27"/>
      <c r="Z37" s="24">
        <f>[0]!e_38</f>
        <v>-0.013500000000000002</v>
      </c>
      <c r="AA37" s="25">
        <f>[0]!e_38</f>
        <v>-0.013500000000000002</v>
      </c>
      <c r="AB37" s="26">
        <f>[0]!e_38+[0]!e_44</f>
        <v>-0.0235</v>
      </c>
      <c r="AC37" s="27">
        <f>[0]!e_38+[0]!e_44</f>
        <v>-0.0235</v>
      </c>
      <c r="AD37" s="24">
        <f>[0]!e_38+[0]!e_33+[0]!e_39</f>
        <v>-0.044833333333333336</v>
      </c>
      <c r="AE37" s="25">
        <f>[0]!e_38+[0]!e_33+[0]!e_39</f>
        <v>-0.044833333333333336</v>
      </c>
      <c r="AF37" s="26">
        <f>[0]!e_38+[0]!e_33+[0]!e_39+[0]!e_45</f>
        <v>-0.05633333333333333</v>
      </c>
      <c r="AG37" s="27">
        <f>[0]!e_38+[0]!e_33+[0]!e_39+[0]!e_45</f>
        <v>-0.05633333333333333</v>
      </c>
      <c r="AH37" s="24">
        <f>[0]!e_38+[0]!e_33+[0]!e_28+[0]!e_34+[0]!e_40</f>
        <v>-0.013333333333333336</v>
      </c>
      <c r="AI37" s="25">
        <f>[0]!e_38+[0]!e_33+[0]!e_28+[0]!e_34+[0]!e_40</f>
        <v>-0.013333333333333336</v>
      </c>
    </row>
    <row r="38" spans="2:35" ht="12.75">
      <c r="B38" s="86"/>
      <c r="C38" s="85">
        <f>[0]!e_30</f>
        <v>0.009500000000000001</v>
      </c>
      <c r="D38" s="86"/>
      <c r="E38" s="85">
        <f>[0]!e_31</f>
        <v>-0.013166666666666667</v>
      </c>
      <c r="F38" s="86"/>
      <c r="G38" s="85">
        <f>[0]!e_32</f>
        <v>-0.014166666666666668</v>
      </c>
      <c r="H38" s="86"/>
      <c r="I38" s="85">
        <f>[0]!e_33</f>
        <v>-0.017833333333333333</v>
      </c>
      <c r="J38" s="86"/>
      <c r="K38" s="85">
        <f>[0]!e_34</f>
        <v>-0.005666666666666667</v>
      </c>
      <c r="L38" s="86"/>
      <c r="N38" s="26">
        <f>[0]!e_37+[0]!e_31+[0]!e_25+[0]!e_30+[0]!e_35</f>
        <v>0.0075000000000000015</v>
      </c>
      <c r="O38" s="27">
        <f>[0]!e_37+[0]!e_31+[0]!e_25+[0]!e_30+[0]!e_35</f>
        <v>0.0075000000000000015</v>
      </c>
      <c r="P38" s="24">
        <f>[0]!e_37+[0]!e_31+[0]!e_25+[0]!e_30</f>
        <v>0.0005000000000000004</v>
      </c>
      <c r="Q38" s="25">
        <f>[0]!e_37+[0]!e_31+[0]!e_25+[0]!e_30</f>
        <v>0.0005000000000000004</v>
      </c>
      <c r="R38" s="26">
        <f>[0]!e_37+[0]!e_31+[0]!e_36</f>
        <v>-0.008</v>
      </c>
      <c r="S38" s="27">
        <f>[0]!e_37+[0]!e_31+[0]!e_36</f>
        <v>-0.008</v>
      </c>
      <c r="T38" s="24">
        <f>[0]!e_37+[0]!e_31</f>
        <v>-0.0085</v>
      </c>
      <c r="U38" s="25">
        <f>[0]!e_37+[0]!e_31</f>
        <v>-0.0085</v>
      </c>
      <c r="V38" s="26">
        <f>[0]!e_37</f>
        <v>0.004666666666666667</v>
      </c>
      <c r="W38" s="27">
        <f>[0]!e_37</f>
        <v>0.004666666666666667</v>
      </c>
      <c r="X38" s="24">
        <f>[0]!e_32</f>
        <v>-0.014166666666666668</v>
      </c>
      <c r="Y38" s="25">
        <f>[0]!e_32</f>
        <v>-0.014166666666666668</v>
      </c>
      <c r="Z38" s="26">
        <f>[0]!e_38</f>
        <v>-0.013500000000000002</v>
      </c>
      <c r="AA38" s="27">
        <f>[0]!e_38</f>
        <v>-0.013500000000000002</v>
      </c>
      <c r="AB38" s="24">
        <f>[0]!e_38+[0]!e_33</f>
        <v>-0.03133333333333334</v>
      </c>
      <c r="AC38" s="25">
        <f>[0]!e_38+[0]!e_33</f>
        <v>-0.03133333333333334</v>
      </c>
      <c r="AD38" s="26">
        <f>[0]!e_38+[0]!e_33+[0]!e_39</f>
        <v>-0.044833333333333336</v>
      </c>
      <c r="AE38" s="27">
        <f>[0]!e_38+[0]!e_33+[0]!e_39</f>
        <v>-0.044833333333333336</v>
      </c>
      <c r="AF38" s="24">
        <f>[0]!e_38+[0]!e_33+[0]!e_28+[0]!e_34</f>
        <v>-0.05516666666666667</v>
      </c>
      <c r="AG38" s="25">
        <f>[0]!e_38+[0]!e_33+[0]!e_28+[0]!e_34</f>
        <v>-0.05516666666666667</v>
      </c>
      <c r="AH38" s="26">
        <f>[0]!e_38+[0]!e_33+[0]!e_28+[0]!e_34+[0]!e_40</f>
        <v>-0.013333333333333336</v>
      </c>
      <c r="AI38" s="27">
        <f>[0]!e_38+[0]!e_33+[0]!e_28+[0]!e_34+[0]!e_40</f>
        <v>-0.013333333333333336</v>
      </c>
    </row>
    <row r="39" spans="2:35" ht="12.75">
      <c r="B39" s="85">
        <f>[0]!e_24</f>
        <v>0.022166666666666668</v>
      </c>
      <c r="C39" s="86"/>
      <c r="D39" s="85">
        <f>[0]!e_25</f>
        <v>-0.0005</v>
      </c>
      <c r="E39" s="86"/>
      <c r="F39" s="85">
        <f>[0]!e_26</f>
        <v>-0.008</v>
      </c>
      <c r="G39" s="86"/>
      <c r="H39" s="85">
        <f>[0]!e_27</f>
        <v>-0.018</v>
      </c>
      <c r="I39" s="86"/>
      <c r="J39" s="85">
        <f>[0]!e_28</f>
        <v>-0.018166666666666664</v>
      </c>
      <c r="K39" s="86"/>
      <c r="L39" s="85">
        <f>[0]!e_29</f>
        <v>0</v>
      </c>
      <c r="N39" s="24">
        <f>[0]!e_37+[0]!e_31+[0]!e_25+[0]!e_19+[0]!e_24</f>
        <v>0.02666666666666667</v>
      </c>
      <c r="O39" s="25">
        <f>[0]!e_37+[0]!e_31+[0]!e_25+[0]!e_19+[0]!e_24</f>
        <v>0.02666666666666667</v>
      </c>
      <c r="P39" s="26">
        <f>[0]!e_37+[0]!e_31+[0]!e_25+[0]!e_30</f>
        <v>0.0005000000000000004</v>
      </c>
      <c r="Q39" s="27">
        <f>[0]!e_37+[0]!e_31+[0]!e_25+[0]!e_30</f>
        <v>0.0005000000000000004</v>
      </c>
      <c r="R39" s="24">
        <f>[0]!e_37+[0]!e_31+[0]!e_25</f>
        <v>-0.009000000000000001</v>
      </c>
      <c r="S39" s="25">
        <f>[0]!e_37+[0]!e_31+[0]!e_25</f>
        <v>-0.009000000000000001</v>
      </c>
      <c r="T39" s="26">
        <f>[0]!e_37+[0]!e_31</f>
        <v>-0.0085</v>
      </c>
      <c r="U39" s="27">
        <f>[0]!e_37+[0]!e_31</f>
        <v>-0.0085</v>
      </c>
      <c r="V39" s="24">
        <f>[0]!e_37+[0]!e_26</f>
        <v>-0.003333333333333333</v>
      </c>
      <c r="W39" s="25">
        <f>[0]!e_37+[0]!e_26</f>
        <v>-0.003333333333333333</v>
      </c>
      <c r="X39" s="26">
        <f>[0]!e_32</f>
        <v>-0.014166666666666668</v>
      </c>
      <c r="Y39" s="27">
        <f>[0]!e_32</f>
        <v>-0.014166666666666668</v>
      </c>
      <c r="Z39" s="24">
        <f>[0]!e_38+[0]!e_27</f>
        <v>-0.0315</v>
      </c>
      <c r="AA39" s="25">
        <f>[0]!e_38+[0]!e_27</f>
        <v>-0.0315</v>
      </c>
      <c r="AB39" s="26">
        <f>[0]!e_38+[0]!e_33</f>
        <v>-0.03133333333333334</v>
      </c>
      <c r="AC39" s="27">
        <f>[0]!e_38+[0]!e_33</f>
        <v>-0.03133333333333334</v>
      </c>
      <c r="AD39" s="24">
        <f>[0]!e_38+[0]!e_33+[0]!e_28</f>
        <v>-0.0495</v>
      </c>
      <c r="AE39" s="25">
        <f>[0]!e_38+[0]!e_33+[0]!e_28</f>
        <v>-0.0495</v>
      </c>
      <c r="AF39" s="26">
        <f>[0]!e_38+[0]!e_33+[0]!e_28+[0]!e_34</f>
        <v>-0.05516666666666667</v>
      </c>
      <c r="AG39" s="27">
        <f>[0]!e_38+[0]!e_33+[0]!e_28+[0]!e_34</f>
        <v>-0.05516666666666667</v>
      </c>
      <c r="AH39" s="24">
        <f>[0]!e_38+[0]!e_33+[0]!e_28+[0]!e_23+[0]!e_29</f>
        <v>-0.0345</v>
      </c>
      <c r="AI39" s="25">
        <f>[0]!e_38+[0]!e_33+[0]!e_28+[0]!e_23+[0]!e_29</f>
        <v>-0.0345</v>
      </c>
    </row>
    <row r="40" spans="2:35" ht="12.75">
      <c r="B40" s="86"/>
      <c r="C40" s="85">
        <f>[0]!e_19</f>
        <v>0.013500000000000002</v>
      </c>
      <c r="D40" s="86"/>
      <c r="E40" s="85">
        <f>[0]!e_20</f>
        <v>-0.011000000000000001</v>
      </c>
      <c r="F40" s="86"/>
      <c r="G40" s="85">
        <f>[0]!e_21</f>
        <v>-0.013</v>
      </c>
      <c r="H40" s="86"/>
      <c r="I40" s="85">
        <f>[0]!e_22</f>
        <v>-0.013666666666666667</v>
      </c>
      <c r="J40" s="86"/>
      <c r="K40" s="85">
        <f>[0]!e_23</f>
        <v>0.015000000000000001</v>
      </c>
      <c r="L40" s="86"/>
      <c r="N40" s="26">
        <f>[0]!e_37+[0]!e_31+[0]!e_25+[0]!e_19+[0]!e_24</f>
        <v>0.02666666666666667</v>
      </c>
      <c r="O40" s="27">
        <f>[0]!e_37+[0]!e_31+[0]!e_25+[0]!e_19+[0]!e_24</f>
        <v>0.02666666666666667</v>
      </c>
      <c r="P40" s="24">
        <f>[0]!e_37+[0]!e_31+[0]!e_25+[0]!e_19</f>
        <v>0.0045000000000000005</v>
      </c>
      <c r="Q40" s="25">
        <f>[0]!e_37+[0]!e_31+[0]!e_25+[0]!e_19</f>
        <v>0.0045000000000000005</v>
      </c>
      <c r="R40" s="26">
        <f>[0]!e_37+[0]!e_31+[0]!e_25</f>
        <v>-0.009000000000000001</v>
      </c>
      <c r="S40" s="27">
        <f>[0]!e_37+[0]!e_31+[0]!e_25</f>
        <v>-0.009000000000000001</v>
      </c>
      <c r="T40" s="24">
        <f>[0]!e_37+[0]!e_31+[0]!e_20</f>
        <v>-0.019500000000000003</v>
      </c>
      <c r="U40" s="25">
        <f>[0]!e_37+[0]!e_31+[0]!e_20</f>
        <v>-0.019500000000000003</v>
      </c>
      <c r="V40" s="26">
        <f>[0]!e_37+[0]!e_26</f>
        <v>-0.003333333333333333</v>
      </c>
      <c r="W40" s="27">
        <f>[0]!e_37+[0]!e_26</f>
        <v>-0.003333333333333333</v>
      </c>
      <c r="X40" s="24">
        <f>[0]!e_21+[0]!e_32</f>
        <v>-0.027166666666666665</v>
      </c>
      <c r="Y40" s="25">
        <f>[0]!e_21+[0]!e_32</f>
        <v>-0.027166666666666665</v>
      </c>
      <c r="Z40" s="26">
        <f>[0]!e_38+[0]!e_27</f>
        <v>-0.0315</v>
      </c>
      <c r="AA40" s="27">
        <f>[0]!e_38+[0]!e_27</f>
        <v>-0.0315</v>
      </c>
      <c r="AB40" s="24">
        <f>[0]!e_38+[0]!e_33+[0]!e_22</f>
        <v>-0.045000000000000005</v>
      </c>
      <c r="AC40" s="25">
        <f>[0]!e_38+[0]!e_33+[0]!e_22</f>
        <v>-0.045000000000000005</v>
      </c>
      <c r="AD40" s="26">
        <f>[0]!e_38+[0]!e_33+[0]!e_28</f>
        <v>-0.0495</v>
      </c>
      <c r="AE40" s="27">
        <f>[0]!e_38+[0]!e_33+[0]!e_28</f>
        <v>-0.0495</v>
      </c>
      <c r="AF40" s="24">
        <f>[0]!e_38+[0]!e_33+[0]!e_28+[0]!e_23</f>
        <v>-0.0345</v>
      </c>
      <c r="AG40" s="25">
        <f>[0]!e_38+[0]!e_33+[0]!e_28+[0]!e_23</f>
        <v>-0.0345</v>
      </c>
      <c r="AH40" s="26">
        <f>[0]!e_38+[0]!e_33+[0]!e_28+[0]!e_23+[0]!e_29</f>
        <v>-0.0345</v>
      </c>
      <c r="AI40" s="27">
        <f>[0]!e_38+[0]!e_33+[0]!e_28+[0]!e_23+[0]!e_29</f>
        <v>-0.0345</v>
      </c>
    </row>
    <row r="41" spans="2:35" ht="12.75">
      <c r="B41" s="85">
        <f>[0]!e_88</f>
        <v>0.017</v>
      </c>
      <c r="C41" s="86"/>
      <c r="D41" s="85">
        <f>[0]!e_15</f>
        <v>-0.003166666666666667</v>
      </c>
      <c r="E41" s="86"/>
      <c r="F41" s="85">
        <f>[0]!e_16</f>
        <v>-0.011833333333333333</v>
      </c>
      <c r="G41" s="86"/>
      <c r="H41" s="85">
        <f>[0]!e_17</f>
        <v>-0.018666666666666668</v>
      </c>
      <c r="I41" s="86"/>
      <c r="J41" s="85">
        <f>[0]!e_18</f>
        <v>0.011</v>
      </c>
      <c r="K41" s="86"/>
      <c r="L41" s="85">
        <f>[0]!e_90</f>
        <v>0.034</v>
      </c>
      <c r="N41" s="24">
        <f>[0]!e_37+[0]!e_31+[0]!e_25+[0]!e_19+[0]!e_88</f>
        <v>0.021500000000000002</v>
      </c>
      <c r="O41" s="25">
        <f>[0]!e_37+[0]!e_31+[0]!e_25+[0]!e_19+[0]!e_88</f>
        <v>0.021500000000000002</v>
      </c>
      <c r="P41" s="26">
        <f>[0]!e_37+[0]!e_31+[0]!e_25+[0]!e_19</f>
        <v>0.0045000000000000005</v>
      </c>
      <c r="Q41" s="27">
        <f>[0]!e_37+[0]!e_31+[0]!e_25+[0]!e_19</f>
        <v>0.0045000000000000005</v>
      </c>
      <c r="R41" s="24">
        <f>[0]!e_37+[0]!e_31+[0]!e_25+[0]!e_15</f>
        <v>-0.012166666666666668</v>
      </c>
      <c r="S41" s="25">
        <f>[0]!e_37+[0]!e_31+[0]!e_25+[0]!e_15</f>
        <v>-0.012166666666666668</v>
      </c>
      <c r="T41" s="26">
        <f>[0]!e_37+[0]!e_31+[0]!e_20</f>
        <v>-0.019500000000000003</v>
      </c>
      <c r="U41" s="27">
        <f>[0]!e_37+[0]!e_31+[0]!e_20</f>
        <v>-0.019500000000000003</v>
      </c>
      <c r="V41" s="24">
        <f>[0]!e_37+[0]!e_26+[0]!e_16</f>
        <v>-0.015166666666666665</v>
      </c>
      <c r="W41" s="25">
        <f>[0]!e_37+[0]!e_26+[0]!e_16</f>
        <v>-0.015166666666666665</v>
      </c>
      <c r="X41" s="26">
        <f>[0]!e_21+[0]!e_32</f>
        <v>-0.027166666666666665</v>
      </c>
      <c r="Y41" s="27">
        <f>[0]!e_21+[0]!e_32</f>
        <v>-0.027166666666666665</v>
      </c>
      <c r="Z41" s="24">
        <f>[0]!e_38+[0]!e_27+[0]!e_17</f>
        <v>-0.050166666666666665</v>
      </c>
      <c r="AA41" s="25">
        <f>[0]!e_38+[0]!e_27+[0]!e_17</f>
        <v>-0.050166666666666665</v>
      </c>
      <c r="AB41" s="26">
        <f>[0]!e_38+[0]!e_33+[0]!e_22</f>
        <v>-0.045000000000000005</v>
      </c>
      <c r="AC41" s="27">
        <f>[0]!e_38+[0]!e_33+[0]!e_22</f>
        <v>-0.045000000000000005</v>
      </c>
      <c r="AD41" s="24">
        <f>[0]!e_38+[0]!e_33+[0]!e_28+[0]!e_18</f>
        <v>-0.038500000000000006</v>
      </c>
      <c r="AE41" s="25">
        <f>[0]!e_38+[0]!e_33+[0]!e_28+[0]!e_18</f>
        <v>-0.038500000000000006</v>
      </c>
      <c r="AF41" s="26">
        <f>[0]!e_38+[0]!e_33+[0]!e_28+[0]!e_23</f>
        <v>-0.0345</v>
      </c>
      <c r="AG41" s="27">
        <f>[0]!e_38+[0]!e_33+[0]!e_28+[0]!e_23</f>
        <v>-0.0345</v>
      </c>
      <c r="AH41" s="24">
        <f>[0]!e_38+[0]!e_33+[0]!e_28+[0]!e_23+[0]!e_90</f>
        <v>-0.0005000000000000004</v>
      </c>
      <c r="AI41" s="25">
        <f>[0]!e_38+[0]!e_33+[0]!e_28+[0]!e_23+[0]!e_90</f>
        <v>-0.0005000000000000004</v>
      </c>
    </row>
    <row r="42" spans="2:35" ht="12.75">
      <c r="B42" s="86"/>
      <c r="C42" s="85">
        <f>[0]!e_10</f>
        <v>0.036000000000000004</v>
      </c>
      <c r="D42" s="86"/>
      <c r="E42" s="85">
        <f>[0]!e_11</f>
        <v>-0.0026666666666666666</v>
      </c>
      <c r="F42" s="86"/>
      <c r="G42" s="85">
        <f>[0]!e_12</f>
        <v>-0.006333333333333334</v>
      </c>
      <c r="H42" s="86"/>
      <c r="I42" s="85">
        <f>[0]!e_13</f>
        <v>0.001666666666666667</v>
      </c>
      <c r="J42" s="86"/>
      <c r="K42" s="85">
        <f>[0]!e_14</f>
        <v>0.035</v>
      </c>
      <c r="L42" s="86"/>
      <c r="N42" s="26">
        <f>[0]!e_37+[0]!e_31+[0]!e_25+[0]!e_19+[0]!e_88</f>
        <v>0.021500000000000002</v>
      </c>
      <c r="O42" s="27">
        <f>[0]!e_37+[0]!e_31+[0]!e_25+[0]!e_19+[0]!e_88</f>
        <v>0.021500000000000002</v>
      </c>
      <c r="P42" s="24">
        <f>[0]!e_37+[0]!e_31+[0]!e_25+[0]!e_19+[0]!e_10</f>
        <v>0.04050000000000001</v>
      </c>
      <c r="Q42" s="25">
        <f>[0]!e_37+[0]!e_31+[0]!e_25+[0]!e_19+[0]!e_10</f>
        <v>0.04050000000000001</v>
      </c>
      <c r="R42" s="26">
        <f>[0]!e_37+[0]!e_31+[0]!e_25+[0]!e_15</f>
        <v>-0.012166666666666668</v>
      </c>
      <c r="S42" s="27">
        <f>[0]!e_37+[0]!e_31+[0]!e_25+[0]!e_15</f>
        <v>-0.012166666666666668</v>
      </c>
      <c r="T42" s="24">
        <f>[0]!e_37+[0]!e_31+[0]!e_20+[0]!e_11</f>
        <v>-0.02216666666666667</v>
      </c>
      <c r="U42" s="25">
        <f>[0]!e_37+[0]!e_31+[0]!e_20+[0]!e_11</f>
        <v>-0.02216666666666667</v>
      </c>
      <c r="V42" s="26">
        <f>[0]!e_37+[0]!e_26+[0]!e_16</f>
        <v>-0.015166666666666665</v>
      </c>
      <c r="W42" s="27">
        <f>[0]!e_37+[0]!e_26+[0]!e_16</f>
        <v>-0.015166666666666665</v>
      </c>
      <c r="X42" s="24">
        <f>[0]!e_21+[0]!e_32+[0]!e_12</f>
        <v>-0.0335</v>
      </c>
      <c r="Y42" s="25">
        <f>[0]!e_21+[0]!e_32+[0]!e_12</f>
        <v>-0.0335</v>
      </c>
      <c r="Z42" s="26">
        <f>[0]!e_38+[0]!e_27+[0]!e_17</f>
        <v>-0.050166666666666665</v>
      </c>
      <c r="AA42" s="27">
        <f>[0]!e_38+[0]!e_27+[0]!e_17</f>
        <v>-0.050166666666666665</v>
      </c>
      <c r="AB42" s="24">
        <f>[0]!e_38+[0]!e_33+[0]!e_22+[0]!e_13</f>
        <v>-0.043333333333333335</v>
      </c>
      <c r="AC42" s="25">
        <f>[0]!e_38+[0]!e_33+[0]!e_22+[0]!e_13</f>
        <v>-0.043333333333333335</v>
      </c>
      <c r="AD42" s="26">
        <f>[0]!e_38+[0]!e_33+[0]!e_28+[0]!e_18</f>
        <v>-0.038500000000000006</v>
      </c>
      <c r="AE42" s="27">
        <f>[0]!e_38+[0]!e_33+[0]!e_28+[0]!e_18</f>
        <v>-0.038500000000000006</v>
      </c>
      <c r="AF42" s="24">
        <f>[0]!e_38+[0]!e_33+[0]!e_28+[0]!e_23+[0]!e_14</f>
        <v>0.0005000000000000004</v>
      </c>
      <c r="AG42" s="25">
        <f>[0]!e_38+[0]!e_33+[0]!e_28+[0]!e_23+[0]!e_14</f>
        <v>0.0005000000000000004</v>
      </c>
      <c r="AH42" s="31">
        <f>[0]!e_38+[0]!e_33+[0]!e_28+[0]!e_23+[0]!e_90</f>
        <v>-0.0005000000000000004</v>
      </c>
      <c r="AI42" s="27">
        <f>[0]!e_38+[0]!e_33+[0]!e_28+[0]!e_23+[0]!e_90</f>
        <v>-0.0005000000000000004</v>
      </c>
    </row>
    <row r="43" spans="2:35" ht="12.75">
      <c r="B43" s="22"/>
      <c r="C43" s="86"/>
      <c r="D43" s="85">
        <f>[0]!e_6</f>
        <v>0.02666666666666667</v>
      </c>
      <c r="E43" s="86"/>
      <c r="F43" s="85">
        <f>[0]!e_7</f>
        <v>-0.004333333333333333</v>
      </c>
      <c r="G43" s="86"/>
      <c r="H43" s="85">
        <f>[0]!e_8</f>
        <v>-0.009500000000000001</v>
      </c>
      <c r="I43" s="86"/>
      <c r="J43" s="85">
        <f>[0]!e_9</f>
        <v>0.0185</v>
      </c>
      <c r="K43" s="86"/>
      <c r="L43" s="22"/>
      <c r="N43" s="23"/>
      <c r="O43" s="23"/>
      <c r="P43" s="26">
        <f>[0]!e_37+[0]!e_31+[0]!e_25+[0]!e_19+[0]!e_10</f>
        <v>0.04050000000000001</v>
      </c>
      <c r="Q43" s="27">
        <f>[0]!e_37+[0]!e_31+[0]!e_25+[0]!e_19+[0]!e_10</f>
        <v>0.04050000000000001</v>
      </c>
      <c r="R43" s="24">
        <f>[0]!e_37+[0]!e_31+[0]!e_25+[0]!e_15+[0]!e_6</f>
        <v>0.0145</v>
      </c>
      <c r="S43" s="25">
        <f>[0]!e_37+[0]!e_31+[0]!e_25+[0]!e_15+[0]!e_6</f>
        <v>0.0145</v>
      </c>
      <c r="T43" s="26">
        <f>[0]!e_37+[0]!e_31+[0]!e_20+[0]!e_11</f>
        <v>-0.02216666666666667</v>
      </c>
      <c r="U43" s="27">
        <f>[0]!e_37+[0]!e_31+[0]!e_20+[0]!e_11</f>
        <v>-0.02216666666666667</v>
      </c>
      <c r="V43" s="24">
        <f>[0]!e_37+[0]!e_26+[0]!e_16+[0]!e_7</f>
        <v>-0.019499999999999997</v>
      </c>
      <c r="W43" s="25">
        <f>[0]!e_37+[0]!e_26+[0]!e_16+[0]!e_7</f>
        <v>-0.019499999999999997</v>
      </c>
      <c r="X43" s="26">
        <f>[0]!e_21+[0]!e_32+[0]!e_12</f>
        <v>-0.0335</v>
      </c>
      <c r="Y43" s="27">
        <f>[0]!e_21+[0]!e_32+[0]!e_12</f>
        <v>-0.0335</v>
      </c>
      <c r="Z43" s="24">
        <f>[0]!e_38+[0]!e_27+[0]!e_17+[0]!e_8</f>
        <v>-0.059666666666666666</v>
      </c>
      <c r="AA43" s="25">
        <f>[0]!e_38+[0]!e_27+[0]!e_17+[0]!e_8</f>
        <v>-0.059666666666666666</v>
      </c>
      <c r="AB43" s="26">
        <f>[0]!e_38+[0]!e_33+[0]!e_22+[0]!e_13</f>
        <v>-0.043333333333333335</v>
      </c>
      <c r="AC43" s="27">
        <f>[0]!e_38+[0]!e_33+[0]!e_22+[0]!e_13</f>
        <v>-0.043333333333333335</v>
      </c>
      <c r="AD43" s="24">
        <f>[0]!e_38+[0]!e_33+[0]!e_28+[0]!e_18+[0]!e_9</f>
        <v>-0.020000000000000007</v>
      </c>
      <c r="AE43" s="25">
        <f>[0]!e_38+[0]!e_33+[0]!e_28+[0]!e_18+[0]!e_9</f>
        <v>-0.020000000000000007</v>
      </c>
      <c r="AF43" s="26">
        <f>[0]!e_38+[0]!e_33+[0]!e_28+[0]!e_23+[0]!e_14</f>
        <v>0.0005000000000000004</v>
      </c>
      <c r="AG43" s="27">
        <f>[0]!e_38+[0]!e_33+[0]!e_28+[0]!e_23+[0]!e_14</f>
        <v>0.0005000000000000004</v>
      </c>
      <c r="AH43" s="29"/>
      <c r="AI43" s="23"/>
    </row>
    <row r="44" spans="2:35" ht="12.75">
      <c r="B44" s="22"/>
      <c r="C44" s="22"/>
      <c r="D44" s="86"/>
      <c r="E44" s="85">
        <f>[0]!e_3</f>
        <v>0.006833333333333334</v>
      </c>
      <c r="F44" s="86"/>
      <c r="G44" s="85">
        <f>[0]!e_4</f>
        <v>0.006833333333333334</v>
      </c>
      <c r="H44" s="86"/>
      <c r="I44" s="85">
        <f>[0]!e_5</f>
        <v>0.015333333333333334</v>
      </c>
      <c r="J44" s="86"/>
      <c r="K44" s="22"/>
      <c r="L44" s="22"/>
      <c r="N44" s="23"/>
      <c r="O44" s="23"/>
      <c r="P44" s="23"/>
      <c r="Q44" s="30"/>
      <c r="R44" s="26">
        <f>[0]!e_37+[0]!e_31+[0]!e_25+[0]!e_15+[0]!e_6</f>
        <v>0.0145</v>
      </c>
      <c r="S44" s="27">
        <f>[0]!e_37+[0]!e_31+[0]!e_25+[0]!e_15+[0]!e_6</f>
        <v>0.0145</v>
      </c>
      <c r="T44" s="24">
        <f>[0]!e_37+[0]!e_31+[0]!e_20+[0]!e_11+[0]!e_3</f>
        <v>-0.015333333333333338</v>
      </c>
      <c r="U44" s="25">
        <f>[0]!e_37+[0]!e_31+[0]!e_20+[0]!e_11+[0]!e_3</f>
        <v>-0.015333333333333338</v>
      </c>
      <c r="V44" s="26">
        <f>[0]!e_37+[0]!e_26+[0]!e_16+[0]!e_7</f>
        <v>-0.019499999999999997</v>
      </c>
      <c r="W44" s="27">
        <f>[0]!e_37+[0]!e_26+[0]!e_16+[0]!e_7</f>
        <v>-0.019499999999999997</v>
      </c>
      <c r="X44" s="24">
        <f>[0]!e_21+[0]!e_32+[0]!e_12+[0]!e_4</f>
        <v>-0.02666666666666667</v>
      </c>
      <c r="Y44" s="25">
        <f>[0]!e_21+[0]!e_32+[0]!e_12+[0]!e_4</f>
        <v>-0.02666666666666667</v>
      </c>
      <c r="Z44" s="26">
        <f>[0]!e_38+[0]!e_27+[0]!e_17+[0]!e_8</f>
        <v>-0.059666666666666666</v>
      </c>
      <c r="AA44" s="27">
        <f>[0]!e_38+[0]!e_27+[0]!e_17+[0]!e_8</f>
        <v>-0.059666666666666666</v>
      </c>
      <c r="AB44" s="24">
        <f>[0]!e_38+[0]!e_33+[0]!e_22+[0]!e_13+[0]!e_5</f>
        <v>-0.028</v>
      </c>
      <c r="AC44" s="25">
        <f>[0]!e_38+[0]!e_33+[0]!e_22+[0]!e_13+[0]!e_5</f>
        <v>-0.028</v>
      </c>
      <c r="AD44" s="26">
        <f>[0]!e_38+[0]!e_33+[0]!e_28+[0]!e_18+[0]!e_9</f>
        <v>-0.020000000000000007</v>
      </c>
      <c r="AE44" s="27">
        <f>[0]!e_38+[0]!e_33+[0]!e_28+[0]!e_18+[0]!e_9</f>
        <v>-0.020000000000000007</v>
      </c>
      <c r="AF44" s="23"/>
      <c r="AG44" s="23"/>
      <c r="AH44" s="23"/>
      <c r="AI44" s="23"/>
    </row>
    <row r="45" spans="2:35" ht="12.75">
      <c r="B45" s="22"/>
      <c r="C45" s="22"/>
      <c r="D45" s="22"/>
      <c r="E45" s="86"/>
      <c r="F45" s="85">
        <f>[0]!e_1</f>
        <v>0.008</v>
      </c>
      <c r="G45" s="86"/>
      <c r="H45" s="85">
        <f>[0]!e_2</f>
        <v>-0.05483333333333333</v>
      </c>
      <c r="I45" s="86"/>
      <c r="J45" s="22"/>
      <c r="K45" s="22"/>
      <c r="L45" s="22"/>
      <c r="N45" s="23"/>
      <c r="O45" s="23"/>
      <c r="P45" s="23"/>
      <c r="Q45" s="23"/>
      <c r="R45" s="23"/>
      <c r="S45" s="23"/>
      <c r="T45" s="26">
        <f>[0]!e_37+[0]!e_31+[0]!e_20+[0]!e_11+[0]!e_3</f>
        <v>-0.015333333333333338</v>
      </c>
      <c r="U45" s="27">
        <f>[0]!e_37+[0]!e_31+[0]!e_20+[0]!e_11+[0]!e_3</f>
        <v>-0.015333333333333338</v>
      </c>
      <c r="V45" s="24">
        <f>[0]!e_37+[0]!e_26+[0]!e_16+[0]!e_7+[0]!e_1</f>
        <v>-0.011499999999999996</v>
      </c>
      <c r="W45" s="25">
        <f>[0]!e_37+[0]!e_26+[0]!e_16+[0]!e_7+[0]!e_1</f>
        <v>-0.011499999999999996</v>
      </c>
      <c r="X45" s="26">
        <f>[0]!e_21+[0]!e_32+[0]!e_12+[0]!e_4</f>
        <v>-0.02666666666666667</v>
      </c>
      <c r="Y45" s="27">
        <f>[0]!e_21+[0]!e_32+[0]!e_12+[0]!e_4</f>
        <v>-0.02666666666666667</v>
      </c>
      <c r="Z45" s="24">
        <f>[0]!e_38+[0]!e_27+[0]!e_17+[0]!e_8+[0]!e_2</f>
        <v>-0.11449999999999999</v>
      </c>
      <c r="AA45" s="25">
        <f>[0]!e_38+[0]!e_27+[0]!e_17+[0]!e_8+[0]!e_2</f>
        <v>-0.11449999999999999</v>
      </c>
      <c r="AB45" s="26">
        <f>[0]!e_38+[0]!e_33+[0]!e_22+[0]!e_13+[0]!e_5</f>
        <v>-0.028</v>
      </c>
      <c r="AC45" s="27">
        <f>[0]!e_38+[0]!e_33+[0]!e_22+[0]!e_13+[0]!e_5</f>
        <v>-0.028</v>
      </c>
      <c r="AD45" s="23"/>
      <c r="AE45" s="23"/>
      <c r="AF45" s="23"/>
      <c r="AG45" s="23"/>
      <c r="AH45" s="23"/>
      <c r="AI45" s="23"/>
    </row>
    <row r="46" spans="2:35" ht="12.75">
      <c r="B46" s="22"/>
      <c r="C46" s="22"/>
      <c r="D46" s="22"/>
      <c r="E46" s="22"/>
      <c r="F46" s="86"/>
      <c r="G46" s="85">
        <f>[0]!e_89</f>
        <v>0.026333333333333334</v>
      </c>
      <c r="H46" s="86"/>
      <c r="I46" s="22"/>
      <c r="J46" s="22"/>
      <c r="K46" s="22"/>
      <c r="L46" s="22"/>
      <c r="N46" s="23"/>
      <c r="O46" s="23"/>
      <c r="P46" s="23"/>
      <c r="Q46" s="23"/>
      <c r="R46" s="23"/>
      <c r="S46" s="23"/>
      <c r="T46" s="23"/>
      <c r="U46" s="23"/>
      <c r="V46" s="26">
        <f>[0]!e_37+[0]!e_26+[0]!e_16+[0]!e_7+[0]!e_1</f>
        <v>-0.011499999999999996</v>
      </c>
      <c r="W46" s="27">
        <f>[0]!e_37+[0]!e_26+[0]!e_16+[0]!e_7+[0]!e_1</f>
        <v>-0.011499999999999996</v>
      </c>
      <c r="X46" s="24">
        <f>[0]!e_21+[0]!e_32+[0]!e_12+[0]!e_4+[0]!e_89</f>
        <v>-0.0003333333333333348</v>
      </c>
      <c r="Y46" s="25">
        <f>[0]!e_21+[0]!e_32+[0]!e_12+[0]!e_4+[0]!e_89</f>
        <v>-0.0003333333333333348</v>
      </c>
      <c r="Z46" s="26">
        <f>[0]!e_38+[0]!e_27+[0]!e_17+[0]!e_8+[0]!e_2</f>
        <v>-0.11449999999999999</v>
      </c>
      <c r="AA46" s="27">
        <f>[0]!e_38+[0]!e_27+[0]!e_17+[0]!e_8+[0]!e_2</f>
        <v>-0.11449999999999999</v>
      </c>
      <c r="AB46" s="23"/>
      <c r="AC46" s="23"/>
      <c r="AD46" s="23"/>
      <c r="AE46" s="23"/>
      <c r="AF46" s="23"/>
      <c r="AG46" s="23"/>
      <c r="AH46" s="23"/>
      <c r="AI46" s="23"/>
    </row>
    <row r="47" spans="2:35" ht="12.75">
      <c r="B47" s="22"/>
      <c r="C47" s="22"/>
      <c r="D47" s="22"/>
      <c r="E47" s="22"/>
      <c r="F47" s="22"/>
      <c r="G47" s="86"/>
      <c r="H47" s="22"/>
      <c r="I47" s="22"/>
      <c r="J47" s="22"/>
      <c r="K47" s="22"/>
      <c r="L47" s="22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6">
        <f>[0]!e_21+[0]!e_32+[0]!e_12+[0]!e_4+[0]!e_89</f>
        <v>-0.0003333333333333348</v>
      </c>
      <c r="Y47" s="27">
        <f>[0]!e_21+[0]!e_32+[0]!e_12+[0]!e_4+[0]!e_89</f>
        <v>-0.0003333333333333348</v>
      </c>
      <c r="Z47" s="23"/>
      <c r="AA47" s="23"/>
      <c r="AB47" s="23"/>
      <c r="AC47" s="23"/>
      <c r="AD47" s="23"/>
      <c r="AE47" s="23"/>
      <c r="AF47" s="23"/>
      <c r="AG47" s="23"/>
      <c r="AH47" s="23"/>
      <c r="AI47" s="23"/>
    </row>
  </sheetData>
  <mergeCells count="182">
    <mergeCell ref="J7:J8"/>
    <mergeCell ref="L7:L8"/>
    <mergeCell ref="I8:I9"/>
    <mergeCell ref="K8:K9"/>
    <mergeCell ref="K6:K7"/>
    <mergeCell ref="J9:J10"/>
    <mergeCell ref="L9:L10"/>
    <mergeCell ref="K10:K11"/>
    <mergeCell ref="J5:J6"/>
    <mergeCell ref="I4:I5"/>
    <mergeCell ref="J15:J16"/>
    <mergeCell ref="L15:L16"/>
    <mergeCell ref="K14:K15"/>
    <mergeCell ref="K16:K17"/>
    <mergeCell ref="J17:J18"/>
    <mergeCell ref="L17:L18"/>
    <mergeCell ref="G2:G3"/>
    <mergeCell ref="F3:F4"/>
    <mergeCell ref="H3:H4"/>
    <mergeCell ref="G4:G5"/>
    <mergeCell ref="C6:C7"/>
    <mergeCell ref="E6:E7"/>
    <mergeCell ref="G6:G7"/>
    <mergeCell ref="I6:I7"/>
    <mergeCell ref="D5:D6"/>
    <mergeCell ref="F5:F6"/>
    <mergeCell ref="H5:H6"/>
    <mergeCell ref="E4:E5"/>
    <mergeCell ref="I10:I11"/>
    <mergeCell ref="B7:B8"/>
    <mergeCell ref="D7:D8"/>
    <mergeCell ref="F7:F8"/>
    <mergeCell ref="H7:H8"/>
    <mergeCell ref="C8:C9"/>
    <mergeCell ref="E8:E9"/>
    <mergeCell ref="G8:G9"/>
    <mergeCell ref="B9:B10"/>
    <mergeCell ref="D9:D10"/>
    <mergeCell ref="B11:B12"/>
    <mergeCell ref="D11:D12"/>
    <mergeCell ref="F11:F12"/>
    <mergeCell ref="H11:H12"/>
    <mergeCell ref="C10:C11"/>
    <mergeCell ref="E10:E11"/>
    <mergeCell ref="G10:G11"/>
    <mergeCell ref="F9:F10"/>
    <mergeCell ref="H9:H10"/>
    <mergeCell ref="J11:J12"/>
    <mergeCell ref="L11:L12"/>
    <mergeCell ref="C12:C13"/>
    <mergeCell ref="E12:E13"/>
    <mergeCell ref="G12:G13"/>
    <mergeCell ref="I12:I13"/>
    <mergeCell ref="K12:K13"/>
    <mergeCell ref="J13:J14"/>
    <mergeCell ref="L13:L14"/>
    <mergeCell ref="I14:I15"/>
    <mergeCell ref="I16:I17"/>
    <mergeCell ref="B13:B14"/>
    <mergeCell ref="D13:D14"/>
    <mergeCell ref="F13:F14"/>
    <mergeCell ref="H13:H14"/>
    <mergeCell ref="C14:C15"/>
    <mergeCell ref="E14:E15"/>
    <mergeCell ref="G14:G15"/>
    <mergeCell ref="B15:B16"/>
    <mergeCell ref="D15:D16"/>
    <mergeCell ref="B17:B18"/>
    <mergeCell ref="D17:D18"/>
    <mergeCell ref="F17:F18"/>
    <mergeCell ref="H17:H18"/>
    <mergeCell ref="C16:C17"/>
    <mergeCell ref="E16:E17"/>
    <mergeCell ref="G16:G17"/>
    <mergeCell ref="F15:F16"/>
    <mergeCell ref="H15:H16"/>
    <mergeCell ref="C18:C19"/>
    <mergeCell ref="E18:E19"/>
    <mergeCell ref="G18:G19"/>
    <mergeCell ref="I18:I19"/>
    <mergeCell ref="K18:K19"/>
    <mergeCell ref="D19:D20"/>
    <mergeCell ref="F19:F20"/>
    <mergeCell ref="H19:H20"/>
    <mergeCell ref="J19:J20"/>
    <mergeCell ref="E20:E21"/>
    <mergeCell ref="G20:G21"/>
    <mergeCell ref="I20:I21"/>
    <mergeCell ref="F21:F22"/>
    <mergeCell ref="H21:H22"/>
    <mergeCell ref="G22:G23"/>
    <mergeCell ref="G26:G27"/>
    <mergeCell ref="F27:F28"/>
    <mergeCell ref="H27:H28"/>
    <mergeCell ref="E28:E29"/>
    <mergeCell ref="G28:G29"/>
    <mergeCell ref="I30:I31"/>
    <mergeCell ref="I28:I29"/>
    <mergeCell ref="D29:D30"/>
    <mergeCell ref="F29:F30"/>
    <mergeCell ref="H29:H30"/>
    <mergeCell ref="K30:K31"/>
    <mergeCell ref="B31:B32"/>
    <mergeCell ref="D31:D32"/>
    <mergeCell ref="F31:F32"/>
    <mergeCell ref="H31:H32"/>
    <mergeCell ref="J31:J32"/>
    <mergeCell ref="J29:J30"/>
    <mergeCell ref="C30:C31"/>
    <mergeCell ref="E30:E31"/>
    <mergeCell ref="G30:G31"/>
    <mergeCell ref="L31:L32"/>
    <mergeCell ref="C32:C33"/>
    <mergeCell ref="E32:E33"/>
    <mergeCell ref="G32:G33"/>
    <mergeCell ref="I32:I33"/>
    <mergeCell ref="K32:K33"/>
    <mergeCell ref="J33:J34"/>
    <mergeCell ref="L33:L34"/>
    <mergeCell ref="I34:I35"/>
    <mergeCell ref="K34:K35"/>
    <mergeCell ref="B33:B34"/>
    <mergeCell ref="D33:D34"/>
    <mergeCell ref="F33:F34"/>
    <mergeCell ref="H33:H34"/>
    <mergeCell ref="C34:C35"/>
    <mergeCell ref="E34:E35"/>
    <mergeCell ref="G34:G35"/>
    <mergeCell ref="B35:B36"/>
    <mergeCell ref="D35:D36"/>
    <mergeCell ref="F35:F36"/>
    <mergeCell ref="H35:H36"/>
    <mergeCell ref="J35:J36"/>
    <mergeCell ref="L35:L36"/>
    <mergeCell ref="C36:C37"/>
    <mergeCell ref="E36:E37"/>
    <mergeCell ref="G36:G37"/>
    <mergeCell ref="I36:I37"/>
    <mergeCell ref="K36:K37"/>
    <mergeCell ref="J37:J38"/>
    <mergeCell ref="L37:L38"/>
    <mergeCell ref="H37:H38"/>
    <mergeCell ref="C38:C39"/>
    <mergeCell ref="E38:E39"/>
    <mergeCell ref="G38:G39"/>
    <mergeCell ref="I38:I39"/>
    <mergeCell ref="K38:K39"/>
    <mergeCell ref="B39:B40"/>
    <mergeCell ref="D39:D40"/>
    <mergeCell ref="F39:F40"/>
    <mergeCell ref="H39:H40"/>
    <mergeCell ref="J39:J40"/>
    <mergeCell ref="B37:B38"/>
    <mergeCell ref="D37:D38"/>
    <mergeCell ref="F37:F38"/>
    <mergeCell ref="L39:L40"/>
    <mergeCell ref="C40:C41"/>
    <mergeCell ref="E40:E41"/>
    <mergeCell ref="G40:G41"/>
    <mergeCell ref="I40:I41"/>
    <mergeCell ref="K40:K41"/>
    <mergeCell ref="J41:J42"/>
    <mergeCell ref="L41:L42"/>
    <mergeCell ref="I42:I43"/>
    <mergeCell ref="K42:K43"/>
    <mergeCell ref="B41:B42"/>
    <mergeCell ref="D41:D42"/>
    <mergeCell ref="F41:F42"/>
    <mergeCell ref="H41:H42"/>
    <mergeCell ref="C42:C43"/>
    <mergeCell ref="E42:E43"/>
    <mergeCell ref="G42:G43"/>
    <mergeCell ref="D43:D44"/>
    <mergeCell ref="F43:F44"/>
    <mergeCell ref="H43:H44"/>
    <mergeCell ref="J43:J44"/>
    <mergeCell ref="E44:E45"/>
    <mergeCell ref="G44:G45"/>
    <mergeCell ref="I44:I45"/>
    <mergeCell ref="F45:F46"/>
    <mergeCell ref="H45:H46"/>
    <mergeCell ref="G46:G47"/>
  </mergeCells>
  <printOptions gridLines="1"/>
  <pageMargins left="0.75" right="0.75" top="1" bottom="1" header="0.511811023" footer="0.51181102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I47"/>
  <sheetViews>
    <sheetView zoomScale="75" zoomScaleNormal="75" workbookViewId="0" topLeftCell="A1">
      <selection activeCell="G42" sqref="G42:G43"/>
    </sheetView>
  </sheetViews>
  <sheetFormatPr defaultColWidth="9.140625" defaultRowHeight="12.75"/>
  <cols>
    <col min="2" max="12" width="7.28125" style="0" customWidth="1"/>
    <col min="14" max="35" width="6.00390625" style="0" customWidth="1"/>
  </cols>
  <sheetData>
    <row r="1" spans="14:35" ht="12.75"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2:35" ht="12.75">
      <c r="B2" s="22"/>
      <c r="C2" s="22"/>
      <c r="D2" s="22"/>
      <c r="E2" s="22"/>
      <c r="F2" s="22"/>
      <c r="G2" s="90">
        <v>86</v>
      </c>
      <c r="H2" s="22"/>
      <c r="I2" s="22"/>
      <c r="J2" s="22"/>
      <c r="K2" s="22"/>
      <c r="L2" s="22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2:35" ht="12.75">
      <c r="B3" s="22"/>
      <c r="C3" s="22"/>
      <c r="D3" s="22"/>
      <c r="E3" s="22"/>
      <c r="F3" s="90">
        <v>84</v>
      </c>
      <c r="G3" s="90"/>
      <c r="H3" s="90">
        <v>85</v>
      </c>
      <c r="I3" s="22"/>
      <c r="J3" s="22"/>
      <c r="L3" s="22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2:35" ht="12.75">
      <c r="B4" s="22"/>
      <c r="C4" s="22"/>
      <c r="D4" s="22"/>
      <c r="E4" s="89">
        <v>81</v>
      </c>
      <c r="F4" s="90"/>
      <c r="G4" s="90">
        <v>82</v>
      </c>
      <c r="H4" s="90"/>
      <c r="I4" s="90">
        <v>83</v>
      </c>
      <c r="J4" s="22"/>
      <c r="K4" s="22"/>
      <c r="L4" s="2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2:35" ht="12.75">
      <c r="B5" s="22"/>
      <c r="C5" s="22"/>
      <c r="D5" s="90">
        <v>77</v>
      </c>
      <c r="E5" s="89"/>
      <c r="F5" s="90">
        <v>78</v>
      </c>
      <c r="G5" s="90"/>
      <c r="H5" s="90">
        <v>79</v>
      </c>
      <c r="I5" s="90"/>
      <c r="J5" s="88">
        <v>80</v>
      </c>
      <c r="K5" s="22"/>
      <c r="L5" s="22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2:35" ht="12.75">
      <c r="B6" s="22"/>
      <c r="C6" s="90">
        <v>72</v>
      </c>
      <c r="D6" s="90"/>
      <c r="E6" s="89">
        <v>73</v>
      </c>
      <c r="F6" s="90"/>
      <c r="G6" s="90">
        <v>74</v>
      </c>
      <c r="H6" s="90"/>
      <c r="I6" s="90">
        <v>75</v>
      </c>
      <c r="J6" s="88"/>
      <c r="K6" s="90">
        <v>76</v>
      </c>
      <c r="L6" s="22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2:35" ht="12.75">
      <c r="B7" s="90">
        <v>87</v>
      </c>
      <c r="C7" s="90"/>
      <c r="D7" s="90">
        <v>68</v>
      </c>
      <c r="E7" s="89"/>
      <c r="F7" s="90">
        <v>69</v>
      </c>
      <c r="G7" s="90"/>
      <c r="H7" s="90">
        <v>70</v>
      </c>
      <c r="I7" s="90"/>
      <c r="J7" s="88">
        <v>71</v>
      </c>
      <c r="K7" s="90"/>
      <c r="L7" s="90">
        <v>91</v>
      </c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2:35" ht="12.75">
      <c r="B8" s="90"/>
      <c r="C8" s="90">
        <v>63</v>
      </c>
      <c r="D8" s="90"/>
      <c r="E8" s="89">
        <v>64</v>
      </c>
      <c r="F8" s="90"/>
      <c r="G8" s="90">
        <v>65</v>
      </c>
      <c r="H8" s="90"/>
      <c r="I8" s="90">
        <v>66</v>
      </c>
      <c r="J8" s="88"/>
      <c r="K8" s="90">
        <v>67</v>
      </c>
      <c r="L8" s="9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2:35" ht="12.75">
      <c r="B9" s="90">
        <v>57</v>
      </c>
      <c r="C9" s="90"/>
      <c r="D9" s="90">
        <v>58</v>
      </c>
      <c r="E9" s="89"/>
      <c r="F9" s="90">
        <v>59</v>
      </c>
      <c r="G9" s="90"/>
      <c r="H9" s="90">
        <v>60</v>
      </c>
      <c r="I9" s="90"/>
      <c r="J9" s="88">
        <v>61</v>
      </c>
      <c r="K9" s="90"/>
      <c r="L9" s="90">
        <v>62</v>
      </c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</row>
    <row r="10" spans="2:35" ht="12.75">
      <c r="B10" s="90"/>
      <c r="C10" s="90">
        <v>52</v>
      </c>
      <c r="D10" s="90"/>
      <c r="E10" s="89">
        <v>53</v>
      </c>
      <c r="F10" s="90"/>
      <c r="G10" s="90">
        <v>54</v>
      </c>
      <c r="H10" s="90"/>
      <c r="I10" s="90">
        <v>55</v>
      </c>
      <c r="J10" s="88"/>
      <c r="K10" s="90">
        <v>56</v>
      </c>
      <c r="L10" s="90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</row>
    <row r="11" spans="2:35" ht="12.75">
      <c r="B11" s="90">
        <v>46</v>
      </c>
      <c r="C11" s="90"/>
      <c r="D11" s="90">
        <v>47</v>
      </c>
      <c r="E11" s="89"/>
      <c r="F11" s="90">
        <v>48</v>
      </c>
      <c r="G11" s="90"/>
      <c r="H11" s="90">
        <v>49</v>
      </c>
      <c r="I11" s="90"/>
      <c r="J11" s="88">
        <v>50</v>
      </c>
      <c r="K11" s="90"/>
      <c r="L11" s="90">
        <v>51</v>
      </c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</row>
    <row r="12" spans="2:35" ht="12.75">
      <c r="B12" s="90"/>
      <c r="C12" s="90">
        <v>41</v>
      </c>
      <c r="D12" s="90"/>
      <c r="E12" s="89">
        <v>42</v>
      </c>
      <c r="F12" s="90"/>
      <c r="G12" s="90">
        <v>43</v>
      </c>
      <c r="H12" s="90"/>
      <c r="I12" s="90">
        <v>44</v>
      </c>
      <c r="J12" s="88"/>
      <c r="K12" s="90">
        <v>45</v>
      </c>
      <c r="L12" s="90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</row>
    <row r="13" spans="2:35" ht="12.75">
      <c r="B13" s="90">
        <v>35</v>
      </c>
      <c r="C13" s="90"/>
      <c r="D13" s="90">
        <v>36</v>
      </c>
      <c r="E13" s="89"/>
      <c r="F13" s="90">
        <v>37</v>
      </c>
      <c r="G13" s="90"/>
      <c r="H13" s="90">
        <v>38</v>
      </c>
      <c r="I13" s="90"/>
      <c r="J13" s="88">
        <v>39</v>
      </c>
      <c r="K13" s="90"/>
      <c r="L13" s="90">
        <v>40</v>
      </c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2:35" ht="12.75">
      <c r="B14" s="90"/>
      <c r="C14" s="90">
        <v>30</v>
      </c>
      <c r="D14" s="90"/>
      <c r="E14" s="89">
        <v>31</v>
      </c>
      <c r="F14" s="90"/>
      <c r="G14" s="90">
        <v>32</v>
      </c>
      <c r="H14" s="90"/>
      <c r="I14" s="90">
        <v>33</v>
      </c>
      <c r="J14" s="88"/>
      <c r="K14" s="90">
        <v>34</v>
      </c>
      <c r="L14" s="90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</row>
    <row r="15" spans="2:35" ht="12.75">
      <c r="B15" s="90">
        <v>24</v>
      </c>
      <c r="C15" s="90"/>
      <c r="D15" s="90">
        <v>25</v>
      </c>
      <c r="E15" s="89"/>
      <c r="F15" s="90">
        <v>26</v>
      </c>
      <c r="G15" s="90"/>
      <c r="H15" s="90">
        <v>27</v>
      </c>
      <c r="I15" s="90"/>
      <c r="J15" s="88">
        <v>28</v>
      </c>
      <c r="K15" s="90"/>
      <c r="L15" s="90">
        <v>29</v>
      </c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</row>
    <row r="16" spans="2:35" ht="12.75">
      <c r="B16" s="90"/>
      <c r="C16" s="90">
        <v>19</v>
      </c>
      <c r="D16" s="90"/>
      <c r="E16" s="89">
        <v>20</v>
      </c>
      <c r="F16" s="90"/>
      <c r="G16" s="90">
        <v>21</v>
      </c>
      <c r="H16" s="90"/>
      <c r="I16" s="90">
        <v>22</v>
      </c>
      <c r="J16" s="88"/>
      <c r="K16" s="90">
        <v>23</v>
      </c>
      <c r="L16" s="90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</row>
    <row r="17" spans="2:35" ht="12.75">
      <c r="B17" s="90">
        <v>88</v>
      </c>
      <c r="C17" s="90"/>
      <c r="D17" s="90">
        <v>15</v>
      </c>
      <c r="E17" s="89"/>
      <c r="F17" s="90">
        <v>16</v>
      </c>
      <c r="G17" s="90"/>
      <c r="H17" s="90">
        <v>17</v>
      </c>
      <c r="I17" s="90"/>
      <c r="J17" s="88">
        <v>18</v>
      </c>
      <c r="K17" s="90"/>
      <c r="L17" s="90">
        <v>90</v>
      </c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</row>
    <row r="18" spans="2:35" ht="12.75">
      <c r="B18" s="90"/>
      <c r="C18" s="90">
        <v>10</v>
      </c>
      <c r="D18" s="90"/>
      <c r="E18" s="89">
        <v>11</v>
      </c>
      <c r="F18" s="90"/>
      <c r="G18" s="90">
        <v>12</v>
      </c>
      <c r="H18" s="90"/>
      <c r="I18" s="90">
        <v>13</v>
      </c>
      <c r="J18" s="88"/>
      <c r="K18" s="90">
        <v>14</v>
      </c>
      <c r="L18" s="90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</row>
    <row r="19" spans="2:35" ht="12.75">
      <c r="B19" s="22"/>
      <c r="C19" s="90"/>
      <c r="D19" s="90">
        <v>6</v>
      </c>
      <c r="E19" s="89"/>
      <c r="F19" s="90">
        <v>7</v>
      </c>
      <c r="G19" s="90"/>
      <c r="H19" s="90">
        <v>8</v>
      </c>
      <c r="I19" s="90"/>
      <c r="J19" s="88">
        <v>9</v>
      </c>
      <c r="K19" s="90"/>
      <c r="L19" s="22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</row>
    <row r="20" spans="2:35" ht="12.75">
      <c r="B20" s="22"/>
      <c r="C20" s="22"/>
      <c r="D20" s="90"/>
      <c r="E20" s="89">
        <v>3</v>
      </c>
      <c r="F20" s="90"/>
      <c r="G20" s="90">
        <v>4</v>
      </c>
      <c r="H20" s="90"/>
      <c r="I20" s="90">
        <v>5</v>
      </c>
      <c r="J20" s="88"/>
      <c r="K20" s="22"/>
      <c r="L20" s="22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</row>
    <row r="21" spans="2:35" ht="12.75">
      <c r="B21" s="22"/>
      <c r="C21" s="22"/>
      <c r="D21" s="22"/>
      <c r="E21" s="89"/>
      <c r="F21" s="90">
        <v>1</v>
      </c>
      <c r="G21" s="90"/>
      <c r="H21" s="90">
        <v>2</v>
      </c>
      <c r="I21" s="90"/>
      <c r="J21" s="22"/>
      <c r="K21" s="22"/>
      <c r="L21" s="22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</row>
    <row r="22" spans="2:35" ht="12.75">
      <c r="B22" s="22"/>
      <c r="C22" s="22"/>
      <c r="D22" s="22"/>
      <c r="E22" s="22"/>
      <c r="F22" s="90"/>
      <c r="G22" s="90">
        <v>89</v>
      </c>
      <c r="H22" s="90"/>
      <c r="I22" s="22"/>
      <c r="J22" s="22"/>
      <c r="K22" s="22"/>
      <c r="L22" s="22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</row>
    <row r="23" spans="2:35" ht="12.75">
      <c r="B23" s="22"/>
      <c r="C23" s="22"/>
      <c r="D23" s="22"/>
      <c r="E23" s="22"/>
      <c r="F23" s="22"/>
      <c r="G23" s="90"/>
      <c r="H23" s="22"/>
      <c r="I23" s="22"/>
      <c r="J23" s="22"/>
      <c r="K23" s="22"/>
      <c r="L23" s="22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</row>
    <row r="24" spans="14:35" ht="12.75"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6:35" ht="12.75">
      <c r="F25" t="s">
        <v>19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</row>
    <row r="26" spans="2:35" ht="12.75">
      <c r="B26" s="60"/>
      <c r="C26" s="60"/>
      <c r="D26" s="60"/>
      <c r="E26" s="60"/>
      <c r="F26" s="60"/>
      <c r="G26" s="91">
        <f>[0]!r_86</f>
        <v>999</v>
      </c>
      <c r="H26" s="60"/>
      <c r="I26" s="60"/>
      <c r="J26" s="60"/>
      <c r="K26" s="60"/>
      <c r="L26" s="60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2"/>
      <c r="Y26" s="63"/>
      <c r="Z26" s="61"/>
      <c r="AA26" s="61"/>
      <c r="AB26" s="61"/>
      <c r="AC26" s="61"/>
      <c r="AD26" s="61"/>
      <c r="AE26" s="61"/>
      <c r="AF26" s="61"/>
      <c r="AG26" s="61"/>
      <c r="AH26" s="61"/>
      <c r="AI26" s="61"/>
    </row>
    <row r="27" spans="2:35" ht="12.75">
      <c r="B27" s="60"/>
      <c r="C27" s="60"/>
      <c r="D27" s="60"/>
      <c r="E27" s="60"/>
      <c r="F27" s="91">
        <f>[0]!r_84</f>
        <v>-0.002000000000000001</v>
      </c>
      <c r="G27" s="92"/>
      <c r="H27" s="91">
        <f>[0]!r_85</f>
        <v>-0.006</v>
      </c>
      <c r="I27" s="60"/>
      <c r="J27" s="60"/>
      <c r="K27" s="60"/>
      <c r="L27" s="60"/>
      <c r="N27" s="61"/>
      <c r="O27" s="61"/>
      <c r="P27" s="61"/>
      <c r="Q27" s="61"/>
      <c r="R27" s="61"/>
      <c r="S27" s="61"/>
      <c r="T27" s="61"/>
      <c r="U27" s="61"/>
      <c r="V27" s="62">
        <f>[0]!r_48+[0]!r_59+[0]!r_69+[0]!r_78+[0]!r_84</f>
        <v>-0.019666666666666666</v>
      </c>
      <c r="W27" s="62">
        <f>[0]!r_48+[0]!r_59+[0]!r_69+[0]!r_78+[0]!r_84</f>
        <v>-0.019666666666666666</v>
      </c>
      <c r="X27" s="64"/>
      <c r="Y27" s="65"/>
      <c r="Z27" s="62">
        <f>[0]!r_49+[0]!r_60+[0]!r_70+[0]!r_79+[0]!r_85</f>
        <v>-0.017166666666666667</v>
      </c>
      <c r="AA27" s="63">
        <f>[0]!r_49+[0]!r_60+[0]!r_70+[0]!r_79+[0]!r_85</f>
        <v>-0.017166666666666667</v>
      </c>
      <c r="AB27" s="61"/>
      <c r="AC27" s="61"/>
      <c r="AD27" s="61"/>
      <c r="AE27" s="61"/>
      <c r="AF27" s="61"/>
      <c r="AG27" s="61"/>
      <c r="AH27" s="61"/>
      <c r="AI27" s="61"/>
    </row>
    <row r="28" spans="2:35" ht="12.75">
      <c r="B28" s="60"/>
      <c r="C28" s="60"/>
      <c r="D28" s="60"/>
      <c r="E28" s="91">
        <f>[0]!r_81</f>
        <v>0.008666666666666666</v>
      </c>
      <c r="F28" s="92"/>
      <c r="G28" s="91">
        <f>[0]!r_82</f>
        <v>-0.003</v>
      </c>
      <c r="H28" s="92"/>
      <c r="I28" s="91">
        <f>[0]!r_83</f>
        <v>0.0015000000000000002</v>
      </c>
      <c r="J28" s="60"/>
      <c r="K28" s="60"/>
      <c r="L28" s="60"/>
      <c r="N28" s="61"/>
      <c r="O28" s="61"/>
      <c r="P28" s="61"/>
      <c r="Q28" s="61"/>
      <c r="R28" s="61"/>
      <c r="S28" s="61"/>
      <c r="T28" s="62">
        <f>[0]!r_48+[0]!r_53+[0]!r_64+[0]!r_73+[0]!r_81</f>
        <v>-0.002333333333333335</v>
      </c>
      <c r="U28" s="63">
        <f>[0]!r_48+[0]!r_53+[0]!r_64+[0]!r_73+[0]!r_81</f>
        <v>-0.002333333333333335</v>
      </c>
      <c r="V28" s="62">
        <f>[0]!r_48+[0]!r_59+[0]!r_69+[0]!r_78+[0]!r_84</f>
        <v>-0.019666666666666666</v>
      </c>
      <c r="W28" s="62">
        <f>[0]!r_48+[0]!r_59+[0]!r_69+[0]!r_78+[0]!r_84</f>
        <v>-0.019666666666666666</v>
      </c>
      <c r="X28" s="62">
        <f>[0]!r_54+[0]!r_65+[0]!r_74+[0]!r_82</f>
        <v>-0.045000000000000005</v>
      </c>
      <c r="Y28" s="63">
        <f>[0]!r_54+[0]!r_65+[0]!r_74+[0]!r_82</f>
        <v>-0.045000000000000005</v>
      </c>
      <c r="Z28" s="64">
        <f>[0]!r_49+[0]!r_60+[0]!r_70+[0]!r_79+[0]!r_85</f>
        <v>-0.017166666666666667</v>
      </c>
      <c r="AA28" s="65">
        <f>[0]!r_49+[0]!r_60+[0]!r_70+[0]!r_79+[0]!r_85</f>
        <v>-0.017166666666666667</v>
      </c>
      <c r="AB28" s="62">
        <f>[0]!r_49+[0]!r_55+[0]!r_66+[0]!r_75+[0]!r_83</f>
        <v>-0.00033333333333333283</v>
      </c>
      <c r="AC28" s="62">
        <f>[0]!r_49+[0]!r_55+[0]!r_66+[0]!r_75+[0]!r_83</f>
        <v>-0.00033333333333333283</v>
      </c>
      <c r="AD28" s="61"/>
      <c r="AE28" s="61"/>
      <c r="AF28" s="61"/>
      <c r="AG28" s="61"/>
      <c r="AH28" s="61"/>
      <c r="AI28" s="61"/>
    </row>
    <row r="29" spans="2:35" ht="12.75">
      <c r="B29" s="60"/>
      <c r="C29" s="60"/>
      <c r="D29" s="91">
        <f>[0]!r_77</f>
        <v>0.0015</v>
      </c>
      <c r="E29" s="92"/>
      <c r="F29" s="91">
        <f>[0]!r_78</f>
        <v>-0.007166666666666667</v>
      </c>
      <c r="G29" s="92"/>
      <c r="H29" s="91">
        <f>[0]!r_79</f>
        <v>-0.002</v>
      </c>
      <c r="I29" s="92"/>
      <c r="J29" s="91">
        <f>[0]!r_80</f>
        <v>0.0006666666666666665</v>
      </c>
      <c r="K29" s="60"/>
      <c r="L29" s="60"/>
      <c r="N29" s="61"/>
      <c r="O29" s="61"/>
      <c r="P29" s="61"/>
      <c r="Q29" s="61"/>
      <c r="R29" s="62">
        <f>[0]!r_48+[0]!r_53+[0]!r_58+[0]!r_68+[0]!r_77</f>
        <v>-0.011000000000000001</v>
      </c>
      <c r="S29" s="63">
        <f>[0]!r_48+[0]!r_53+[0]!r_58+[0]!r_68+[0]!r_77</f>
        <v>-0.011000000000000001</v>
      </c>
      <c r="T29" s="64">
        <f>[0]!r_48+[0]!r_53+[0]!r_64+[0]!r_73+[0]!r_81</f>
        <v>-0.002333333333333335</v>
      </c>
      <c r="U29" s="65">
        <f>[0]!r_48+[0]!r_53+[0]!r_64+[0]!r_73+[0]!r_81</f>
        <v>-0.002333333333333335</v>
      </c>
      <c r="V29" s="62">
        <f>[0]!r_48+[0]!r_59+[0]!r_69+[0]!r_78</f>
        <v>-0.017666666666666664</v>
      </c>
      <c r="W29" s="63">
        <f>[0]!r_48+[0]!r_59+[0]!r_69+[0]!r_78</f>
        <v>-0.017666666666666664</v>
      </c>
      <c r="X29" s="64">
        <f>[0]!r_54+[0]!r_65+[0]!r_74+[0]!r_82</f>
        <v>-0.045000000000000005</v>
      </c>
      <c r="Y29" s="65">
        <f>[0]!r_54+[0]!r_65+[0]!r_74+[0]!r_82</f>
        <v>-0.045000000000000005</v>
      </c>
      <c r="Z29" s="62">
        <f>[0]!r_49+[0]!r_60+[0]!r_70+[0]!r_79</f>
        <v>-0.011166666666666667</v>
      </c>
      <c r="AA29" s="63">
        <f>[0]!r_49+[0]!r_60+[0]!r_70+[0]!r_79</f>
        <v>-0.011166666666666667</v>
      </c>
      <c r="AB29" s="62">
        <f>[0]!r_49+[0]!r_55+[0]!r_66+[0]!r_75+[0]!r_83</f>
        <v>-0.00033333333333333283</v>
      </c>
      <c r="AC29" s="62">
        <f>[0]!r_49+[0]!r_55+[0]!r_66+[0]!r_75+[0]!r_83</f>
        <v>-0.00033333333333333283</v>
      </c>
      <c r="AD29" s="62">
        <f>[0]!r_49+[0]!r_55+[0]!r_61+[0]!r_71+[0]!r_80</f>
        <v>-0.011166666666666668</v>
      </c>
      <c r="AE29" s="63">
        <f>[0]!r_49+[0]!r_55+[0]!r_61+[0]!r_71+[0]!r_80</f>
        <v>-0.011166666666666668</v>
      </c>
      <c r="AF29" s="61"/>
      <c r="AG29" s="61"/>
      <c r="AH29" s="61"/>
      <c r="AI29" s="61"/>
    </row>
    <row r="30" spans="2:35" ht="12.75">
      <c r="B30" s="60"/>
      <c r="C30" s="91">
        <f>[0]!r_72</f>
        <v>0.008</v>
      </c>
      <c r="D30" s="92"/>
      <c r="E30" s="91">
        <f>[0]!r_73</f>
        <v>-0.0015</v>
      </c>
      <c r="F30" s="92"/>
      <c r="G30" s="91">
        <f>[0]!r_74</f>
        <v>-0.002333333333333333</v>
      </c>
      <c r="H30" s="92"/>
      <c r="I30" s="91">
        <f>[0]!r_75</f>
        <v>-0.0009999999999999996</v>
      </c>
      <c r="J30" s="92"/>
      <c r="K30" s="91">
        <f>[0]!r_76</f>
        <v>-0.006333333333333334</v>
      </c>
      <c r="L30" s="60"/>
      <c r="N30" s="61"/>
      <c r="O30" s="61"/>
      <c r="P30" s="62">
        <f>[0]!r_48+[0]!r_53+[0]!r_58+[0]!r_63+[0]!r_72</f>
        <v>-0.0058333333333333345</v>
      </c>
      <c r="Q30" s="62">
        <f>[0]!r_48+[0]!r_53+[0]!r_58+[0]!r_63+[0]!r_72</f>
        <v>-0.0058333333333333345</v>
      </c>
      <c r="R30" s="64">
        <f>[0]!r_48+[0]!r_53+[0]!r_58+[0]!r_68+[0]!r_77</f>
        <v>-0.011000000000000001</v>
      </c>
      <c r="S30" s="65">
        <f>[0]!r_48+[0]!r_53+[0]!r_58+[0]!r_68+[0]!r_77</f>
        <v>-0.011000000000000001</v>
      </c>
      <c r="T30" s="62">
        <f>[0]!r_48+[0]!r_53+[0]!r_64+[0]!r_73</f>
        <v>-0.011000000000000001</v>
      </c>
      <c r="U30" s="63">
        <f>[0]!r_48+[0]!r_53+[0]!r_64+[0]!r_73</f>
        <v>-0.011000000000000001</v>
      </c>
      <c r="V30" s="64">
        <f>[0]!r_48+[0]!r_59+[0]!r_69+[0]!r_78</f>
        <v>-0.017666666666666664</v>
      </c>
      <c r="W30" s="65">
        <f>[0]!r_48+[0]!r_59+[0]!r_69+[0]!r_78</f>
        <v>-0.017666666666666664</v>
      </c>
      <c r="X30" s="62">
        <f>[0]!r_54+[0]!r_65+[0]!r_74</f>
        <v>-0.042</v>
      </c>
      <c r="Y30" s="63">
        <f>[0]!r_54+[0]!r_65+[0]!r_74</f>
        <v>-0.042</v>
      </c>
      <c r="Z30" s="64">
        <f>[0]!r_49+[0]!r_60+[0]!r_70+[0]!r_79</f>
        <v>-0.011166666666666667</v>
      </c>
      <c r="AA30" s="65">
        <f>[0]!r_49+[0]!r_60+[0]!r_70+[0]!r_79</f>
        <v>-0.011166666666666667</v>
      </c>
      <c r="AB30" s="62">
        <f>[0]!r_49+[0]!r_55+[0]!r_66+[0]!r_75</f>
        <v>-0.001833333333333333</v>
      </c>
      <c r="AC30" s="63">
        <f>[0]!r_49+[0]!r_55+[0]!r_66+[0]!r_75</f>
        <v>-0.001833333333333333</v>
      </c>
      <c r="AD30" s="64">
        <f>[0]!r_49+[0]!r_55+[0]!r_61+[0]!r_71+[0]!r_80</f>
        <v>-0.011166666666666668</v>
      </c>
      <c r="AE30" s="65">
        <f>[0]!r_49+[0]!r_55+[0]!r_61+[0]!r_71+[0]!r_80</f>
        <v>-0.011166666666666668</v>
      </c>
      <c r="AF30" s="62">
        <f>[0]!r_49+[0]!r_55+[0]!r_61+[0]!r_67+[0]!r_76</f>
        <v>-0.012333333333333335</v>
      </c>
      <c r="AG30" s="63">
        <f>[0]!r_49+[0]!r_55+[0]!r_61+[0]!r_67+[0]!r_76</f>
        <v>-0.012333333333333335</v>
      </c>
      <c r="AH30" s="67"/>
      <c r="AI30" s="61"/>
    </row>
    <row r="31" spans="2:35" ht="12.75">
      <c r="B31" s="91">
        <f>[0]!r_87</f>
        <v>-0.007833333333333333</v>
      </c>
      <c r="C31" s="92"/>
      <c r="D31" s="91">
        <f>[0]!r_69</f>
        <v>-0.003</v>
      </c>
      <c r="E31" s="92"/>
      <c r="F31" s="91">
        <f>[0]!r_69</f>
        <v>-0.003</v>
      </c>
      <c r="G31" s="92"/>
      <c r="H31" s="91">
        <f>[0]!r_70</f>
        <v>-0.002333333333333333</v>
      </c>
      <c r="I31" s="92"/>
      <c r="J31" s="91">
        <f>[0]!r_71</f>
        <v>-0.006833333333333334</v>
      </c>
      <c r="K31" s="92"/>
      <c r="L31" s="91">
        <f>[0]!r_91</f>
        <v>-0.003</v>
      </c>
      <c r="N31" s="62">
        <f>[0]!r_48+[0]!r_53+[0]!r_58+[0]!r_63+[0]!r_87</f>
        <v>-0.021666666666666667</v>
      </c>
      <c r="O31" s="63">
        <f>[0]!r_48+[0]!r_53+[0]!r_58+[0]!r_63+[0]!r_87</f>
        <v>-0.021666666666666667</v>
      </c>
      <c r="P31" s="62">
        <f>[0]!r_48+[0]!r_53+[0]!r_58+[0]!r_63+[0]!r_72</f>
        <v>-0.0058333333333333345</v>
      </c>
      <c r="Q31" s="62">
        <f>[0]!r_48+[0]!r_53+[0]!r_58+[0]!r_63+[0]!r_72</f>
        <v>-0.0058333333333333345</v>
      </c>
      <c r="R31" s="62">
        <f>[0]!r_48+[0]!r_53+[0]!r_58+[0]!r_68</f>
        <v>-0.0125</v>
      </c>
      <c r="S31" s="63">
        <f>[0]!r_48+[0]!r_53+[0]!r_58+[0]!r_68</f>
        <v>-0.0125</v>
      </c>
      <c r="T31" s="64">
        <f>[0]!r_48+[0]!r_53+[0]!r_64+[0]!r_73</f>
        <v>-0.011000000000000001</v>
      </c>
      <c r="U31" s="65">
        <f>[0]!r_48+[0]!r_53+[0]!r_64+[0]!r_73</f>
        <v>-0.011000000000000001</v>
      </c>
      <c r="V31" s="62">
        <f>[0]!r_48+[0]!r_59+[0]!r_69</f>
        <v>-0.010499999999999999</v>
      </c>
      <c r="W31" s="63">
        <f>[0]!r_48+[0]!r_59+[0]!r_69</f>
        <v>-0.010499999999999999</v>
      </c>
      <c r="X31" s="64">
        <f>[0]!r_54+[0]!r_65+[0]!r_74</f>
        <v>-0.042</v>
      </c>
      <c r="Y31" s="65">
        <f>[0]!r_54+[0]!r_65+[0]!r_74</f>
        <v>-0.042</v>
      </c>
      <c r="Z31" s="62">
        <f>[0]!r_49+[0]!r_60+[0]!r_70</f>
        <v>-0.009166666666666667</v>
      </c>
      <c r="AA31" s="63">
        <f>[0]!r_49+[0]!r_60+[0]!r_70</f>
        <v>-0.009166666666666667</v>
      </c>
      <c r="AB31" s="64">
        <f>[0]!r_49+[0]!r_55+[0]!r_66+[0]!r_75</f>
        <v>-0.001833333333333333</v>
      </c>
      <c r="AC31" s="65">
        <f>[0]!r_49+[0]!r_55+[0]!r_66+[0]!r_75</f>
        <v>-0.001833333333333333</v>
      </c>
      <c r="AD31" s="62">
        <f>[0]!r_49+[0]!r_55+[0]!r_61+[0]!r_71</f>
        <v>-0.011833333333333335</v>
      </c>
      <c r="AE31" s="63">
        <f>[0]!r_49+[0]!r_55+[0]!r_61+[0]!r_71</f>
        <v>-0.011833333333333335</v>
      </c>
      <c r="AF31" s="64">
        <f>[0]!r_49+[0]!r_55+[0]!r_61+[0]!r_67+[0]!r_76</f>
        <v>-0.012333333333333335</v>
      </c>
      <c r="AG31" s="65">
        <f>[0]!r_49+[0]!r_55+[0]!r_61+[0]!r_67+[0]!r_76</f>
        <v>-0.012333333333333335</v>
      </c>
      <c r="AH31" s="66">
        <f>[0]!r_49+[0]!r_55+[0]!r_61+[0]!r_67+[0]!r_91</f>
        <v>-0.009000000000000001</v>
      </c>
      <c r="AI31" s="63">
        <f>[0]!r_49+[0]!r_55+[0]!r_61+[0]!r_67+[0]!r_91</f>
        <v>-0.009000000000000001</v>
      </c>
    </row>
    <row r="32" spans="2:35" ht="12.75">
      <c r="B32" s="92"/>
      <c r="C32" s="91">
        <f>[0]!r_63</f>
        <v>-0.0031666666666666666</v>
      </c>
      <c r="D32" s="92"/>
      <c r="E32" s="91">
        <f>[0]!r_64</f>
        <v>0.0035</v>
      </c>
      <c r="F32" s="92"/>
      <c r="G32" s="91">
        <f>[0]!r_65</f>
        <v>-0.00016666666666666666</v>
      </c>
      <c r="H32" s="92"/>
      <c r="I32" s="91">
        <f>[0]!r_66</f>
        <v>0.001166666666666667</v>
      </c>
      <c r="J32" s="92"/>
      <c r="K32" s="91">
        <f>[0]!r_67</f>
        <v>-0.001</v>
      </c>
      <c r="L32" s="92"/>
      <c r="N32" s="64">
        <f>[0]!r_48+[0]!r_53+[0]!r_58+[0]!r_63+[0]!r_87</f>
        <v>-0.021666666666666667</v>
      </c>
      <c r="O32" s="65">
        <f>[0]!r_48+[0]!r_53+[0]!r_58+[0]!r_63+[0]!r_87</f>
        <v>-0.021666666666666667</v>
      </c>
      <c r="P32" s="62">
        <f>[0]!r_48+[0]!r_53+[0]!r_58+[0]!r_63</f>
        <v>-0.013833333333333335</v>
      </c>
      <c r="Q32" s="63">
        <f>[0]!r_48+[0]!r_53+[0]!r_58+[0]!r_63</f>
        <v>-0.013833333333333335</v>
      </c>
      <c r="R32" s="64">
        <f>[0]!r_48+[0]!r_53+[0]!r_58+[0]!r_68</f>
        <v>-0.0125</v>
      </c>
      <c r="S32" s="65">
        <f>[0]!r_48+[0]!r_53+[0]!r_58+[0]!r_68</f>
        <v>-0.0125</v>
      </c>
      <c r="T32" s="62">
        <f>[0]!r_48+[0]!r_53+[0]!r_64</f>
        <v>-0.009500000000000001</v>
      </c>
      <c r="U32" s="63">
        <f>[0]!r_48+[0]!r_53+[0]!r_64</f>
        <v>-0.009500000000000001</v>
      </c>
      <c r="V32" s="64">
        <f>[0]!r_48+[0]!r_59+[0]!r_69</f>
        <v>-0.010499999999999999</v>
      </c>
      <c r="W32" s="65">
        <f>[0]!r_48+[0]!r_59+[0]!r_69</f>
        <v>-0.010499999999999999</v>
      </c>
      <c r="X32" s="62">
        <f>[0]!r_54+[0]!r_65</f>
        <v>-0.03966666666666667</v>
      </c>
      <c r="Y32" s="63">
        <f>[0]!r_54+[0]!r_65</f>
        <v>-0.03966666666666667</v>
      </c>
      <c r="Z32" s="64">
        <f>[0]!r_49+[0]!r_60+[0]!r_70</f>
        <v>-0.009166666666666667</v>
      </c>
      <c r="AA32" s="65">
        <f>[0]!r_49+[0]!r_60+[0]!r_70</f>
        <v>-0.009166666666666667</v>
      </c>
      <c r="AB32" s="62">
        <f>[0]!r_49+[0]!r_55+[0]!r_66</f>
        <v>-0.0008333333333333335</v>
      </c>
      <c r="AC32" s="63">
        <f>[0]!r_49+[0]!r_55+[0]!r_66</f>
        <v>-0.0008333333333333335</v>
      </c>
      <c r="AD32" s="64">
        <f>[0]!r_49+[0]!r_55+[0]!r_61+[0]!r_71</f>
        <v>-0.011833333333333335</v>
      </c>
      <c r="AE32" s="65">
        <f>[0]!r_49+[0]!r_55+[0]!r_61+[0]!r_71</f>
        <v>-0.011833333333333335</v>
      </c>
      <c r="AF32" s="62">
        <f>[0]!r_49+[0]!r_55+[0]!r_61+[0]!r_67</f>
        <v>-0.006000000000000001</v>
      </c>
      <c r="AG32" s="63">
        <f>[0]!r_49+[0]!r_55+[0]!r_61+[0]!r_67</f>
        <v>-0.006000000000000001</v>
      </c>
      <c r="AH32" s="64">
        <f>[0]!r_49+[0]!r_55+[0]!r_61+[0]!r_67+[0]!r_91</f>
        <v>-0.009000000000000001</v>
      </c>
      <c r="AI32" s="65">
        <f>[0]!r_49+[0]!r_55+[0]!r_61+[0]!r_67+[0]!r_91</f>
        <v>-0.009000000000000001</v>
      </c>
    </row>
    <row r="33" spans="2:35" ht="12.75">
      <c r="B33" s="91">
        <f>[0]!r_57</f>
        <v>0.015</v>
      </c>
      <c r="C33" s="92"/>
      <c r="D33" s="91">
        <f>[0]!r_58</f>
        <v>0.002333333333333333</v>
      </c>
      <c r="E33" s="92"/>
      <c r="F33" s="91">
        <f>[0]!r_59</f>
        <v>-0.0035</v>
      </c>
      <c r="G33" s="92"/>
      <c r="H33" s="91">
        <f>[0]!r_60</f>
        <v>-0.0045000000000000005</v>
      </c>
      <c r="I33" s="92"/>
      <c r="J33" s="91">
        <f>[0]!r_61</f>
        <v>-0.003</v>
      </c>
      <c r="K33" s="92"/>
      <c r="L33" s="91">
        <f>[0]!r_62</f>
        <v>-0.003</v>
      </c>
      <c r="N33" s="62">
        <f>[0]!r_37+[0]!r_42+[0]!r_47+[0]!r_52+[0]!r_57</f>
        <v>0.013</v>
      </c>
      <c r="O33" s="63">
        <f>[0]!r_37+[0]!r_42+[0]!r_47+[0]!r_52+[0]!r_57</f>
        <v>0.013</v>
      </c>
      <c r="P33" s="64">
        <f>[0]!r_48+[0]!r_53+[0]!r_58+[0]!r_63</f>
        <v>-0.013833333333333335</v>
      </c>
      <c r="Q33" s="65">
        <f>[0]!r_48+[0]!r_53+[0]!r_58+[0]!r_63</f>
        <v>-0.013833333333333335</v>
      </c>
      <c r="R33" s="62">
        <f>[0]!r_48+[0]!r_53+[0]!r_58</f>
        <v>-0.010666666666666668</v>
      </c>
      <c r="S33" s="63">
        <f>[0]!r_48+[0]!r_53+[0]!r_58</f>
        <v>-0.010666666666666668</v>
      </c>
      <c r="T33" s="64">
        <f>[0]!r_48+[0]!r_53+[0]!r_64</f>
        <v>-0.009500000000000001</v>
      </c>
      <c r="U33" s="65">
        <f>[0]!r_48+[0]!r_53+[0]!r_64</f>
        <v>-0.009500000000000001</v>
      </c>
      <c r="V33" s="62">
        <f>[0]!r_48+[0]!r_59</f>
        <v>-0.0075</v>
      </c>
      <c r="W33" s="63">
        <f>[0]!r_48+[0]!r_59</f>
        <v>-0.0075</v>
      </c>
      <c r="X33" s="64">
        <f>[0]!r_54+[0]!r_65</f>
        <v>-0.03966666666666667</v>
      </c>
      <c r="Y33" s="65">
        <f>[0]!r_54+[0]!r_65</f>
        <v>-0.03966666666666667</v>
      </c>
      <c r="Z33" s="62">
        <f>[0]!r_49+[0]!r_60</f>
        <v>-0.006833333333333334</v>
      </c>
      <c r="AA33" s="63">
        <f>[0]!r_49+[0]!r_60</f>
        <v>-0.006833333333333334</v>
      </c>
      <c r="AB33" s="64">
        <f>[0]!r_49+[0]!r_55+[0]!r_66</f>
        <v>-0.0008333333333333335</v>
      </c>
      <c r="AC33" s="65">
        <f>[0]!r_49+[0]!r_55+[0]!r_66</f>
        <v>-0.0008333333333333335</v>
      </c>
      <c r="AD33" s="62">
        <f>[0]!r_49+[0]!r_55+[0]!r_61</f>
        <v>-0.005000000000000001</v>
      </c>
      <c r="AE33" s="63">
        <f>[0]!r_49+[0]!r_55+[0]!r_61</f>
        <v>-0.005000000000000001</v>
      </c>
      <c r="AF33" s="64">
        <f>[0]!r_49+[0]!r_55+[0]!r_61+[0]!r_67</f>
        <v>-0.006000000000000001</v>
      </c>
      <c r="AG33" s="65">
        <f>[0]!r_49+[0]!r_55+[0]!r_61+[0]!r_67</f>
        <v>-0.006000000000000001</v>
      </c>
      <c r="AH33" s="62">
        <f>[0]!r_38+[0]!r_44+[0]!r_50+[0]!r_56+[0]!r_62</f>
        <v>-0.022333333333333337</v>
      </c>
      <c r="AI33" s="63">
        <f>[0]!r_38+[0]!r_44+[0]!r_50+[0]!r_56+[0]!r_62</f>
        <v>-0.022333333333333337</v>
      </c>
    </row>
    <row r="34" spans="2:35" ht="12.75">
      <c r="B34" s="92"/>
      <c r="C34" s="91">
        <f>[0]!r_52</f>
        <v>-0.002666666666666667</v>
      </c>
      <c r="D34" s="92"/>
      <c r="E34" s="91">
        <f>[0]!r_53</f>
        <v>-0.009000000000000001</v>
      </c>
      <c r="F34" s="92"/>
      <c r="G34" s="91">
        <f>[0]!r_54</f>
        <v>-0.0395</v>
      </c>
      <c r="H34" s="92"/>
      <c r="I34" s="91">
        <f>[0]!r_55</f>
        <v>0.00033333333333333305</v>
      </c>
      <c r="J34" s="92"/>
      <c r="K34" s="91">
        <f>[0]!r_56</f>
        <v>0.0045000000000000005</v>
      </c>
      <c r="L34" s="92"/>
      <c r="N34" s="64">
        <f>[0]!r_37+[0]!r_42+[0]!r_47+[0]!r_52+[0]!r_57</f>
        <v>0.013</v>
      </c>
      <c r="O34" s="65">
        <f>[0]!r_37+[0]!r_42+[0]!r_47+[0]!r_52+[0]!r_57</f>
        <v>0.013</v>
      </c>
      <c r="P34" s="62">
        <f>[0]!r_37+[0]!r_42+[0]!r_47+[0]!r_52</f>
        <v>-0.002</v>
      </c>
      <c r="Q34" s="63">
        <f>[0]!r_37+[0]!r_42+[0]!r_47+[0]!r_52</f>
        <v>-0.002</v>
      </c>
      <c r="R34" s="64">
        <f>[0]!r_48+[0]!r_53+[0]!r_58</f>
        <v>-0.010666666666666668</v>
      </c>
      <c r="S34" s="65">
        <f>[0]!r_48+[0]!r_53+[0]!r_58</f>
        <v>-0.010666666666666668</v>
      </c>
      <c r="T34" s="68">
        <f>[0]!r_48+[0]!r_53</f>
        <v>-0.013000000000000001</v>
      </c>
      <c r="U34" s="69">
        <f>[0]!r_48+[0]!r_53</f>
        <v>-0.013000000000000001</v>
      </c>
      <c r="V34" s="64">
        <f>[0]!r_48+[0]!r_59</f>
        <v>-0.0075</v>
      </c>
      <c r="W34" s="65">
        <f>[0]!r_48+[0]!r_59</f>
        <v>-0.0075</v>
      </c>
      <c r="X34" s="62">
        <f>[0]!r_54</f>
        <v>-0.0395</v>
      </c>
      <c r="Y34" s="63">
        <f>[0]!r_54</f>
        <v>-0.0395</v>
      </c>
      <c r="Z34" s="64">
        <f>[0]!r_49+[0]!r_60</f>
        <v>-0.006833333333333334</v>
      </c>
      <c r="AA34" s="65">
        <f>[0]!r_49+[0]!r_60</f>
        <v>-0.006833333333333334</v>
      </c>
      <c r="AB34" s="62">
        <f>[0]!r_49+[0]!r_55</f>
        <v>-0.0020000000000000005</v>
      </c>
      <c r="AC34" s="63">
        <f>[0]!r_49+[0]!r_55</f>
        <v>-0.0020000000000000005</v>
      </c>
      <c r="AD34" s="64">
        <f>[0]!r_49+[0]!r_55+[0]!r_61</f>
        <v>-0.005000000000000001</v>
      </c>
      <c r="AE34" s="65">
        <f>[0]!r_49+[0]!r_55+[0]!r_61</f>
        <v>-0.005000000000000001</v>
      </c>
      <c r="AF34" s="62">
        <f>[0]!r_38+[0]!r_44+[0]!r_50+[0]!r_56</f>
        <v>-0.019333333333333338</v>
      </c>
      <c r="AG34" s="63">
        <f>[0]!r_38+[0]!r_44+[0]!r_50+[0]!r_56</f>
        <v>-0.019333333333333338</v>
      </c>
      <c r="AH34" s="64">
        <f>[0]!r_38+[0]!r_44+[0]!r_50+[0]!r_56+[0]!r_62</f>
        <v>-0.022333333333333337</v>
      </c>
      <c r="AI34" s="65">
        <f>[0]!r_38+[0]!r_44+[0]!r_50+[0]!r_56+[0]!r_62</f>
        <v>-0.022333333333333337</v>
      </c>
    </row>
    <row r="35" spans="2:35" ht="12.75">
      <c r="B35" s="91">
        <f>[0]!r_46</f>
        <v>-0.0033333333333333335</v>
      </c>
      <c r="C35" s="92"/>
      <c r="D35" s="91">
        <f>[0]!r_47</f>
        <v>-0.0014999999999999998</v>
      </c>
      <c r="E35" s="92"/>
      <c r="F35" s="91">
        <f>[0]!r_48</f>
        <v>-0.004</v>
      </c>
      <c r="G35" s="92"/>
      <c r="H35" s="91">
        <f>[0]!r_49</f>
        <v>-0.0023333333333333335</v>
      </c>
      <c r="I35" s="92"/>
      <c r="J35" s="91">
        <f>[0]!r_50</f>
        <v>-0.009000000000000001</v>
      </c>
      <c r="K35" s="92"/>
      <c r="L35" s="91">
        <f>[0]!r_51</f>
        <v>-0.0013333333333333335</v>
      </c>
      <c r="N35" s="62">
        <f>[0]!r_37+[0]!r_31+[0]!r_36+[0]!r_41+[0]!r_46</f>
        <v>-0.0028333333333333327</v>
      </c>
      <c r="O35" s="63">
        <f>[0]!r_37+[0]!r_31+[0]!r_36+[0]!r_41+[0]!r_46</f>
        <v>-0.0028333333333333327</v>
      </c>
      <c r="P35" s="70">
        <f>[0]!r_37+[0]!r_42+[0]!r_47+[0]!r_52</f>
        <v>-0.002</v>
      </c>
      <c r="Q35" s="65">
        <f>[0]!r_37+[0]!r_42+[0]!r_47+[0]!r_52</f>
        <v>-0.002</v>
      </c>
      <c r="R35" s="62">
        <f>[0]!r_37+[0]!r_42+[0]!r_47</f>
        <v>0.0006666666666666672</v>
      </c>
      <c r="S35" s="63">
        <f>[0]!r_37+[0]!r_42+[0]!r_47</f>
        <v>0.0006666666666666672</v>
      </c>
      <c r="T35" s="71">
        <f>[0]!r_48+[0]!r_53</f>
        <v>-0.013000000000000001</v>
      </c>
      <c r="U35" s="72">
        <f>[0]!r_48+[0]!r_53</f>
        <v>-0.013000000000000001</v>
      </c>
      <c r="V35" s="62">
        <f>[0]!r_48</f>
        <v>-0.004</v>
      </c>
      <c r="W35" s="63">
        <f>[0]!r_48</f>
        <v>-0.004</v>
      </c>
      <c r="X35" s="64">
        <f>[0]!r_54</f>
        <v>-0.0395</v>
      </c>
      <c r="Y35" s="65">
        <f>[0]!r_54</f>
        <v>-0.0395</v>
      </c>
      <c r="Z35" s="62">
        <f>[0]!r_49</f>
        <v>-0.0023333333333333335</v>
      </c>
      <c r="AA35" s="63">
        <f>[0]!r_49</f>
        <v>-0.0023333333333333335</v>
      </c>
      <c r="AB35" s="64">
        <f>[0]!r_49+[0]!r_55</f>
        <v>-0.0020000000000000005</v>
      </c>
      <c r="AC35" s="65">
        <f>[0]!r_49+[0]!r_55</f>
        <v>-0.0020000000000000005</v>
      </c>
      <c r="AD35" s="62">
        <f>[0]!r_38+[0]!r_44+[0]!r_50</f>
        <v>-0.02383333333333334</v>
      </c>
      <c r="AE35" s="63">
        <f>[0]!r_38+[0]!r_44+[0]!r_50</f>
        <v>-0.02383333333333334</v>
      </c>
      <c r="AF35" s="64">
        <f>[0]!r_38+[0]!r_44+[0]!r_50+[0]!r_56</f>
        <v>-0.019333333333333338</v>
      </c>
      <c r="AG35" s="65">
        <f>[0]!r_38+[0]!r_44+[0]!r_50+[0]!r_56</f>
        <v>-0.019333333333333338</v>
      </c>
      <c r="AH35" s="62">
        <f>[0]!r_38+[0]!r_33+[0]!r_39+[0]!r_45+[0]!r_51</f>
        <v>-0.026333333333333334</v>
      </c>
      <c r="AI35" s="63">
        <f>[0]!r_38+[0]!r_33+[0]!r_39+[0]!r_45+[0]!r_51</f>
        <v>-0.026333333333333334</v>
      </c>
    </row>
    <row r="36" spans="2:35" ht="12.75">
      <c r="B36" s="92"/>
      <c r="C36" s="91">
        <f>[0]!r_41</f>
        <v>0.003666666666666667</v>
      </c>
      <c r="D36" s="92"/>
      <c r="E36" s="91">
        <f>[0]!r_42</f>
        <v>-0.0025</v>
      </c>
      <c r="F36" s="92"/>
      <c r="G36" s="91"/>
      <c r="H36" s="92"/>
      <c r="I36" s="91">
        <f>[0]!r_44</f>
        <v>-0.0013333333333333333</v>
      </c>
      <c r="J36" s="92"/>
      <c r="K36" s="91">
        <f>[0]!r_45</f>
        <v>-0.0115</v>
      </c>
      <c r="L36" s="92"/>
      <c r="N36" s="64">
        <f>[0]!r_37+[0]!r_31+[0]!r_36+[0]!r_41+[0]!r_46</f>
        <v>-0.0028333333333333327</v>
      </c>
      <c r="O36" s="65">
        <f>[0]!r_37+[0]!r_31+[0]!r_36+[0]!r_41+[0]!r_46</f>
        <v>-0.0028333333333333327</v>
      </c>
      <c r="P36" s="62">
        <f>[0]!r_37+[0]!r_31+[0]!r_36+[0]!r_41</f>
        <v>0.0005000000000000009</v>
      </c>
      <c r="Q36" s="63">
        <f>[0]!r_37+[0]!r_31+[0]!r_36+[0]!r_41</f>
        <v>0.0005000000000000009</v>
      </c>
      <c r="R36" s="64">
        <f>[0]!r_37+[0]!r_42+[0]!r_47</f>
        <v>0.0006666666666666672</v>
      </c>
      <c r="S36" s="65">
        <f>[0]!r_37+[0]!r_42+[0]!r_47</f>
        <v>0.0006666666666666672</v>
      </c>
      <c r="T36" s="62">
        <f>[0]!r_37+[0]!r_42</f>
        <v>0.002166666666666667</v>
      </c>
      <c r="U36" s="63">
        <f>[0]!r_37+[0]!r_42</f>
        <v>0.002166666666666667</v>
      </c>
      <c r="V36" s="64">
        <f>[0]!r_48</f>
        <v>-0.004</v>
      </c>
      <c r="W36" s="65">
        <f>[0]!r_48</f>
        <v>-0.004</v>
      </c>
      <c r="X36" s="62"/>
      <c r="Y36" s="63"/>
      <c r="Z36" s="64">
        <f>[0]!r_49</f>
        <v>-0.0023333333333333335</v>
      </c>
      <c r="AA36" s="65">
        <f>[0]!r_49</f>
        <v>-0.0023333333333333335</v>
      </c>
      <c r="AB36" s="62">
        <f>[0]!r_38+[0]!r_44</f>
        <v>-0.014833333333333336</v>
      </c>
      <c r="AC36" s="63">
        <f>[0]!r_38+[0]!r_44</f>
        <v>-0.014833333333333336</v>
      </c>
      <c r="AD36" s="64">
        <f>[0]!r_38+[0]!r_44+[0]!r_50</f>
        <v>-0.02383333333333334</v>
      </c>
      <c r="AE36" s="65">
        <f>[0]!r_38+[0]!r_44+[0]!r_50</f>
        <v>-0.02383333333333334</v>
      </c>
      <c r="AF36" s="62">
        <f>[0]!r_38+[0]!r_33+[0]!r_39+[0]!r_45</f>
        <v>-0.025</v>
      </c>
      <c r="AG36" s="63">
        <f>[0]!r_38+[0]!r_33+[0]!r_39+[0]!r_45</f>
        <v>-0.025</v>
      </c>
      <c r="AH36" s="64">
        <f>[0]!r_38+[0]!r_33+[0]!r_39+[0]!r_45+[0]!r_51</f>
        <v>-0.026333333333333334</v>
      </c>
      <c r="AI36" s="65">
        <f>[0]!r_38+[0]!r_33+[0]!r_39+[0]!r_45+[0]!r_51</f>
        <v>-0.026333333333333334</v>
      </c>
    </row>
    <row r="37" spans="2:35" ht="12.75">
      <c r="B37" s="91">
        <f>[0]!r_35</f>
        <v>0.007000000000000001</v>
      </c>
      <c r="C37" s="92"/>
      <c r="D37" s="91">
        <f>[0]!r_36</f>
        <v>0.0005</v>
      </c>
      <c r="E37" s="92"/>
      <c r="F37" s="91">
        <f>[0]!r_37</f>
        <v>0.004666666666666667</v>
      </c>
      <c r="G37" s="92"/>
      <c r="H37" s="91">
        <f>[0]!r_38</f>
        <v>-0.013500000000000002</v>
      </c>
      <c r="I37" s="92"/>
      <c r="J37" s="91">
        <f>[0]!r_39</f>
        <v>-0.0009999999999999998</v>
      </c>
      <c r="K37" s="92"/>
      <c r="L37" s="91">
        <f>[0]!r_40</f>
        <v>-0.0013333333333333333</v>
      </c>
      <c r="N37" s="62">
        <f>[0]!r_37+[0]!r_31+[0]!r_25+[0]!r_30+[0]!r_35</f>
        <v>0.004500000000000002</v>
      </c>
      <c r="O37" s="63">
        <f>[0]!r_37+[0]!r_31+[0]!r_25+[0]!r_30+[0]!r_35</f>
        <v>0.004500000000000002</v>
      </c>
      <c r="P37" s="64">
        <f>[0]!r_37+[0]!r_31+[0]!r_36+[0]!r_41</f>
        <v>0.0005000000000000009</v>
      </c>
      <c r="Q37" s="65">
        <f>[0]!r_37+[0]!r_31+[0]!r_36+[0]!r_41</f>
        <v>0.0005000000000000009</v>
      </c>
      <c r="R37" s="62">
        <f>[0]!r_37+[0]!r_31+[0]!r_36</f>
        <v>-0.003166666666666666</v>
      </c>
      <c r="S37" s="63">
        <f>[0]!r_37+[0]!r_31+[0]!r_36</f>
        <v>-0.003166666666666666</v>
      </c>
      <c r="T37" s="64">
        <f>[0]!r_37+[0]!r_42</f>
        <v>0.002166666666666667</v>
      </c>
      <c r="U37" s="65">
        <f>[0]!r_37+[0]!r_42</f>
        <v>0.002166666666666667</v>
      </c>
      <c r="V37" s="62">
        <f>[0]!r_37</f>
        <v>0.004666666666666667</v>
      </c>
      <c r="W37" s="63">
        <f>[0]!r_37</f>
        <v>0.004666666666666667</v>
      </c>
      <c r="X37" s="64"/>
      <c r="Y37" s="65"/>
      <c r="Z37" s="62">
        <f>[0]!r_38</f>
        <v>-0.013500000000000002</v>
      </c>
      <c r="AA37" s="63">
        <f>[0]!r_38</f>
        <v>-0.013500000000000002</v>
      </c>
      <c r="AB37" s="64">
        <f>[0]!r_38+[0]!r_44</f>
        <v>-0.014833333333333336</v>
      </c>
      <c r="AC37" s="65">
        <f>[0]!r_38+[0]!r_44</f>
        <v>-0.014833333333333336</v>
      </c>
      <c r="AD37" s="62">
        <f>[0]!r_38+[0]!r_33+[0]!r_39</f>
        <v>-0.0135</v>
      </c>
      <c r="AE37" s="63">
        <f>[0]!r_38+[0]!r_33+[0]!r_39</f>
        <v>-0.0135</v>
      </c>
      <c r="AF37" s="64">
        <f>[0]!r_38+[0]!r_33+[0]!r_39+[0]!r_45</f>
        <v>-0.025</v>
      </c>
      <c r="AG37" s="65">
        <f>[0]!r_38+[0]!r_33+[0]!r_39+[0]!r_45</f>
        <v>-0.025</v>
      </c>
      <c r="AH37" s="62">
        <f>[0]!r_38+[0]!r_33+[0]!r_28+[0]!r_34+[0]!r_40</f>
        <v>-0.020999999999999998</v>
      </c>
      <c r="AI37" s="63">
        <f>[0]!r_38+[0]!r_33+[0]!r_28+[0]!r_34+[0]!r_40</f>
        <v>-0.020999999999999998</v>
      </c>
    </row>
    <row r="38" spans="2:35" ht="12.75">
      <c r="B38" s="92"/>
      <c r="C38" s="91">
        <f>[0]!r_30</f>
        <v>0.001666666666666667</v>
      </c>
      <c r="D38" s="92"/>
      <c r="E38" s="91">
        <f>[0]!r_31</f>
        <v>-0.008333333333333333</v>
      </c>
      <c r="F38" s="92"/>
      <c r="G38" s="91">
        <f>[0]!r_32</f>
        <v>-0.0016666666666666666</v>
      </c>
      <c r="H38" s="92"/>
      <c r="I38" s="91">
        <f>[0]!r_33</f>
        <v>0.001</v>
      </c>
      <c r="J38" s="92"/>
      <c r="K38" s="91">
        <f>[0]!r_34</f>
        <v>-0.005666666666666667</v>
      </c>
      <c r="L38" s="92"/>
      <c r="N38" s="64">
        <f>[0]!r_37+[0]!r_31+[0]!r_25+[0]!r_30+[0]!r_35</f>
        <v>0.004500000000000002</v>
      </c>
      <c r="O38" s="65">
        <f>[0]!r_37+[0]!r_31+[0]!r_25+[0]!r_30+[0]!r_35</f>
        <v>0.004500000000000002</v>
      </c>
      <c r="P38" s="62">
        <f>[0]!r_37+[0]!r_31+[0]!r_25+[0]!r_30</f>
        <v>-0.0024999999999999988</v>
      </c>
      <c r="Q38" s="63">
        <f>[0]!r_37+[0]!r_31+[0]!r_25+[0]!r_30</f>
        <v>-0.0024999999999999988</v>
      </c>
      <c r="R38" s="64">
        <f>[0]!r_37+[0]!r_31+[0]!r_36</f>
        <v>-0.003166666666666666</v>
      </c>
      <c r="S38" s="65">
        <f>[0]!r_37+[0]!r_31+[0]!r_36</f>
        <v>-0.003166666666666666</v>
      </c>
      <c r="T38" s="62">
        <f>[0]!r_37+[0]!r_31</f>
        <v>-0.003666666666666666</v>
      </c>
      <c r="U38" s="63">
        <f>[0]!r_37+[0]!r_31</f>
        <v>-0.003666666666666666</v>
      </c>
      <c r="V38" s="64">
        <f>[0]!r_37</f>
        <v>0.004666666666666667</v>
      </c>
      <c r="W38" s="65">
        <f>[0]!r_37</f>
        <v>0.004666666666666667</v>
      </c>
      <c r="X38" s="62">
        <f>[0]!r_32</f>
        <v>-0.0016666666666666666</v>
      </c>
      <c r="Y38" s="63">
        <f>[0]!r_32</f>
        <v>-0.0016666666666666666</v>
      </c>
      <c r="Z38" s="64">
        <f>[0]!r_38</f>
        <v>-0.013500000000000002</v>
      </c>
      <c r="AA38" s="65">
        <f>[0]!r_38</f>
        <v>-0.013500000000000002</v>
      </c>
      <c r="AB38" s="62">
        <f>[0]!r_38+[0]!r_33</f>
        <v>-0.0125</v>
      </c>
      <c r="AC38" s="63">
        <f>[0]!r_38+[0]!r_33</f>
        <v>-0.0125</v>
      </c>
      <c r="AD38" s="64">
        <f>[0]!r_38+[0]!r_33+[0]!r_39</f>
        <v>-0.0135</v>
      </c>
      <c r="AE38" s="65">
        <f>[0]!r_38+[0]!r_33+[0]!r_39</f>
        <v>-0.0135</v>
      </c>
      <c r="AF38" s="62">
        <f>[0]!r_38+[0]!r_33+[0]!r_28+[0]!r_34</f>
        <v>-0.019666666666666666</v>
      </c>
      <c r="AG38" s="63">
        <f>[0]!r_38+[0]!r_33+[0]!r_28+[0]!r_34</f>
        <v>-0.019666666666666666</v>
      </c>
      <c r="AH38" s="64">
        <f>[0]!r_38+[0]!r_33+[0]!r_28+[0]!r_34+[0]!r_40</f>
        <v>-0.020999999999999998</v>
      </c>
      <c r="AI38" s="65">
        <f>[0]!r_38+[0]!r_33+[0]!r_28+[0]!r_34+[0]!r_40</f>
        <v>-0.020999999999999998</v>
      </c>
    </row>
    <row r="39" spans="2:35" ht="12.75">
      <c r="B39" s="91">
        <f>[0]!r_24</f>
        <v>0.0014999999999999996</v>
      </c>
      <c r="C39" s="92"/>
      <c r="D39" s="91">
        <f>[0]!r_25</f>
        <v>-0.0005</v>
      </c>
      <c r="E39" s="92"/>
      <c r="F39" s="91">
        <f>[0]!r_26</f>
        <v>-0.008</v>
      </c>
      <c r="G39" s="92"/>
      <c r="H39" s="91">
        <f>[0]!r_27</f>
        <v>0.0004999999999999996</v>
      </c>
      <c r="I39" s="92"/>
      <c r="J39" s="91">
        <f>[0]!r_28</f>
        <v>-0.0015000000000000002</v>
      </c>
      <c r="K39" s="92"/>
      <c r="L39" s="91">
        <f>[0]!r_29</f>
        <v>999</v>
      </c>
      <c r="N39" s="62">
        <f>[0]!r_37+[0]!r_31+[0]!r_25+[0]!r_19+[0]!r_24</f>
        <v>-0.0018333333333333326</v>
      </c>
      <c r="O39" s="63">
        <f>[0]!r_37+[0]!r_31+[0]!r_25+[0]!r_19+[0]!r_24</f>
        <v>-0.0018333333333333326</v>
      </c>
      <c r="P39" s="64">
        <f>[0]!r_37+[0]!r_31+[0]!r_25+[0]!r_30</f>
        <v>-0.0024999999999999988</v>
      </c>
      <c r="Q39" s="65">
        <f>[0]!r_37+[0]!r_31+[0]!r_25+[0]!r_30</f>
        <v>-0.0024999999999999988</v>
      </c>
      <c r="R39" s="62">
        <f>[0]!r_37+[0]!r_31+[0]!r_25</f>
        <v>-0.004166666666666666</v>
      </c>
      <c r="S39" s="63">
        <f>[0]!r_37+[0]!r_31+[0]!r_25</f>
        <v>-0.004166666666666666</v>
      </c>
      <c r="T39" s="64">
        <f>[0]!r_37+[0]!r_31</f>
        <v>-0.003666666666666666</v>
      </c>
      <c r="U39" s="65">
        <f>[0]!r_37+[0]!r_31</f>
        <v>-0.003666666666666666</v>
      </c>
      <c r="V39" s="62">
        <f>[0]!r_37+[0]!r_26</f>
        <v>-0.003333333333333333</v>
      </c>
      <c r="W39" s="63">
        <f>[0]!r_37+[0]!r_26</f>
        <v>-0.003333333333333333</v>
      </c>
      <c r="X39" s="64">
        <f>[0]!r_32</f>
        <v>-0.0016666666666666666</v>
      </c>
      <c r="Y39" s="65">
        <f>[0]!r_32</f>
        <v>-0.0016666666666666666</v>
      </c>
      <c r="Z39" s="62">
        <f>[0]!r_38+[0]!r_27</f>
        <v>-0.013000000000000001</v>
      </c>
      <c r="AA39" s="63">
        <f>[0]!r_38+[0]!r_27</f>
        <v>-0.013000000000000001</v>
      </c>
      <c r="AB39" s="64">
        <f>[0]!r_38+[0]!r_33</f>
        <v>-0.0125</v>
      </c>
      <c r="AC39" s="65">
        <f>[0]!r_38+[0]!r_33</f>
        <v>-0.0125</v>
      </c>
      <c r="AD39" s="62">
        <f>[0]!r_38+[0]!r_33+[0]!r_28</f>
        <v>-0.014</v>
      </c>
      <c r="AE39" s="63">
        <f>[0]!r_38+[0]!r_33+[0]!r_28</f>
        <v>-0.014</v>
      </c>
      <c r="AF39" s="64">
        <f>[0]!r_38+[0]!r_33+[0]!r_28+[0]!r_34</f>
        <v>-0.019666666666666666</v>
      </c>
      <c r="AG39" s="65">
        <f>[0]!r_38+[0]!r_33+[0]!r_28+[0]!r_34</f>
        <v>-0.019666666666666666</v>
      </c>
      <c r="AH39" s="62">
        <f>[0]!r_38+[0]!r_33+[0]!r_28+[0]!r_23+[0]!r_29</f>
        <v>998.9883333333333</v>
      </c>
      <c r="AI39" s="63">
        <f>[0]!r_38+[0]!r_33+[0]!r_28+[0]!r_23+[0]!r_29</f>
        <v>998.9883333333333</v>
      </c>
    </row>
    <row r="40" spans="2:35" ht="12.75">
      <c r="B40" s="92"/>
      <c r="C40" s="91">
        <f>[0]!r_19</f>
        <v>0.0008333333333333334</v>
      </c>
      <c r="D40" s="92"/>
      <c r="E40" s="91">
        <f>[0]!r_20</f>
        <v>-0.0015000000000000002</v>
      </c>
      <c r="F40" s="92"/>
      <c r="G40" s="91">
        <f>[0]!r_21</f>
        <v>-0.007000000000000001</v>
      </c>
      <c r="H40" s="92"/>
      <c r="I40" s="91">
        <f>[0]!r_22</f>
        <v>0.0005000000000000002</v>
      </c>
      <c r="J40" s="92"/>
      <c r="K40" s="91">
        <f>[0]!r_23</f>
        <v>0.0023333333333333327</v>
      </c>
      <c r="L40" s="92"/>
      <c r="N40" s="64">
        <f>[0]!r_37+[0]!r_31+[0]!r_25+[0]!r_19+[0]!r_24</f>
        <v>-0.0018333333333333326</v>
      </c>
      <c r="O40" s="65">
        <f>[0]!r_37+[0]!r_31+[0]!r_25+[0]!r_19+[0]!r_24</f>
        <v>-0.0018333333333333326</v>
      </c>
      <c r="P40" s="62">
        <f>[0]!r_37+[0]!r_31+[0]!r_25+[0]!r_19</f>
        <v>-0.0033333333333333322</v>
      </c>
      <c r="Q40" s="63">
        <f>[0]!r_37+[0]!r_31+[0]!r_25+[0]!r_19</f>
        <v>-0.0033333333333333322</v>
      </c>
      <c r="R40" s="64">
        <f>[0]!r_37+[0]!r_31+[0]!r_25</f>
        <v>-0.004166666666666666</v>
      </c>
      <c r="S40" s="65">
        <f>[0]!r_37+[0]!r_31+[0]!r_25</f>
        <v>-0.004166666666666666</v>
      </c>
      <c r="T40" s="62">
        <f>[0]!r_37+[0]!r_31+[0]!r_20</f>
        <v>-0.005166666666666667</v>
      </c>
      <c r="U40" s="63">
        <f>[0]!r_37+[0]!r_31+[0]!r_20</f>
        <v>-0.005166666666666667</v>
      </c>
      <c r="V40" s="64">
        <f>[0]!r_37+[0]!r_26</f>
        <v>-0.003333333333333333</v>
      </c>
      <c r="W40" s="65">
        <f>[0]!r_37+[0]!r_26</f>
        <v>-0.003333333333333333</v>
      </c>
      <c r="X40" s="62">
        <f>[0]!r_21+[0]!r_32</f>
        <v>-0.008666666666666668</v>
      </c>
      <c r="Y40" s="63">
        <f>[0]!r_21+[0]!r_32</f>
        <v>-0.008666666666666668</v>
      </c>
      <c r="Z40" s="64">
        <f>[0]!r_38+[0]!r_27</f>
        <v>-0.013000000000000001</v>
      </c>
      <c r="AA40" s="65">
        <f>[0]!r_38+[0]!r_27</f>
        <v>-0.013000000000000001</v>
      </c>
      <c r="AB40" s="62">
        <f>[0]!r_38+[0]!r_33+[0]!r_22</f>
        <v>-0.012</v>
      </c>
      <c r="AC40" s="63">
        <f>[0]!r_38+[0]!r_33+[0]!r_22</f>
        <v>-0.012</v>
      </c>
      <c r="AD40" s="64">
        <f>[0]!r_38+[0]!r_33+[0]!r_28</f>
        <v>-0.014</v>
      </c>
      <c r="AE40" s="65">
        <f>[0]!r_38+[0]!r_33+[0]!r_28</f>
        <v>-0.014</v>
      </c>
      <c r="AF40" s="62">
        <f>[0]!r_38+[0]!r_33+[0]!r_28+[0]!r_23</f>
        <v>-0.011666666666666667</v>
      </c>
      <c r="AG40" s="63">
        <f>[0]!r_38+[0]!r_33+[0]!r_28+[0]!r_23</f>
        <v>-0.011666666666666667</v>
      </c>
      <c r="AH40" s="64">
        <f>[0]!r_38+[0]!r_33+[0]!r_28+[0]!r_23+[0]!r_29</f>
        <v>998.9883333333333</v>
      </c>
      <c r="AI40" s="65">
        <f>[0]!r_38+[0]!r_33+[0]!r_28+[0]!r_23+[0]!r_29</f>
        <v>998.9883333333333</v>
      </c>
    </row>
    <row r="41" spans="2:35" ht="12.75">
      <c r="B41" s="91">
        <f>[0]!r_88</f>
        <v>0.00016666666666666666</v>
      </c>
      <c r="C41" s="92"/>
      <c r="D41" s="91">
        <f>[0]!r_15</f>
        <v>-0.003166666666666667</v>
      </c>
      <c r="E41" s="92"/>
      <c r="F41" s="91">
        <f>[0]!r_16</f>
        <v>-0.0016666666666666668</v>
      </c>
      <c r="G41" s="92"/>
      <c r="H41" s="91">
        <f>[0]!r_17</f>
        <v>-0.002666666666666667</v>
      </c>
      <c r="I41" s="92"/>
      <c r="J41" s="91">
        <f>[0]!r_18</f>
        <v>-0.00016666666666666696</v>
      </c>
      <c r="K41" s="92"/>
      <c r="L41" s="91">
        <f>[0]!r_90</f>
        <v>0.004</v>
      </c>
      <c r="N41" s="62">
        <f>[0]!r_37+[0]!r_31+[0]!r_25+[0]!r_19+[0]!r_88</f>
        <v>-0.0031666666666666657</v>
      </c>
      <c r="O41" s="63">
        <f>[0]!r_37+[0]!r_31+[0]!r_25+[0]!r_19+[0]!r_88</f>
        <v>-0.0031666666666666657</v>
      </c>
      <c r="P41" s="64">
        <f>[0]!r_37+[0]!r_31+[0]!r_25+[0]!r_19</f>
        <v>-0.0033333333333333322</v>
      </c>
      <c r="Q41" s="65">
        <f>[0]!r_37+[0]!r_31+[0]!r_25+[0]!r_19</f>
        <v>-0.0033333333333333322</v>
      </c>
      <c r="R41" s="62">
        <f>[0]!r_37+[0]!r_31+[0]!r_25+[0]!r_15</f>
        <v>-0.007333333333333332</v>
      </c>
      <c r="S41" s="63">
        <f>[0]!r_37+[0]!r_31+[0]!r_25+[0]!r_15</f>
        <v>-0.007333333333333332</v>
      </c>
      <c r="T41" s="64">
        <f>[0]!r_37+[0]!r_31+[0]!r_20</f>
        <v>-0.005166666666666667</v>
      </c>
      <c r="U41" s="65">
        <f>[0]!r_37+[0]!r_31+[0]!r_20</f>
        <v>-0.005166666666666667</v>
      </c>
      <c r="V41" s="62">
        <f>[0]!r_37+[0]!r_26+[0]!r_16</f>
        <v>-0.005</v>
      </c>
      <c r="W41" s="63">
        <f>[0]!r_37+[0]!r_26+[0]!r_16</f>
        <v>-0.005</v>
      </c>
      <c r="X41" s="64">
        <f>[0]!r_21+[0]!r_32</f>
        <v>-0.008666666666666668</v>
      </c>
      <c r="Y41" s="65">
        <f>[0]!r_21+[0]!r_32</f>
        <v>-0.008666666666666668</v>
      </c>
      <c r="Z41" s="62">
        <f>[0]!r_38+[0]!r_27+[0]!r_17</f>
        <v>-0.01566666666666667</v>
      </c>
      <c r="AA41" s="63">
        <f>[0]!r_38+[0]!r_27+[0]!r_17</f>
        <v>-0.01566666666666667</v>
      </c>
      <c r="AB41" s="64">
        <f>[0]!r_38+[0]!r_33+[0]!r_22</f>
        <v>-0.012</v>
      </c>
      <c r="AC41" s="65">
        <f>[0]!r_38+[0]!r_33+[0]!r_22</f>
        <v>-0.012</v>
      </c>
      <c r="AD41" s="62">
        <f>[0]!r_38+[0]!r_33+[0]!r_28+[0]!r_18</f>
        <v>-0.014166666666666668</v>
      </c>
      <c r="AE41" s="63">
        <f>[0]!r_38+[0]!r_33+[0]!r_28+[0]!r_18</f>
        <v>-0.014166666666666668</v>
      </c>
      <c r="AF41" s="64">
        <f>[0]!r_38+[0]!r_33+[0]!r_28+[0]!r_23</f>
        <v>-0.011666666666666667</v>
      </c>
      <c r="AG41" s="65">
        <f>[0]!r_38+[0]!r_33+[0]!r_28+[0]!r_23</f>
        <v>-0.011666666666666667</v>
      </c>
      <c r="AH41" s="62">
        <f>[0]!r_38+[0]!r_33+[0]!r_28+[0]!r_23+[0]!r_90</f>
        <v>-0.007666666666666667</v>
      </c>
      <c r="AI41" s="63">
        <f>[0]!r_38+[0]!r_33+[0]!r_28+[0]!r_23+[0]!r_90</f>
        <v>-0.007666666666666667</v>
      </c>
    </row>
    <row r="42" spans="2:35" ht="12.75">
      <c r="B42" s="92"/>
      <c r="C42" s="91">
        <f>[0]!r_10</f>
        <v>0.004</v>
      </c>
      <c r="D42" s="92"/>
      <c r="E42" s="91">
        <f>[0]!r_11</f>
        <v>-0.0026666666666666666</v>
      </c>
      <c r="F42" s="92"/>
      <c r="G42" s="91">
        <f>[0]!r_12</f>
        <v>-0.006333333333333334</v>
      </c>
      <c r="H42" s="92"/>
      <c r="I42" s="91">
        <f>[0]!r_13</f>
        <v>0.001666666666666667</v>
      </c>
      <c r="J42" s="92"/>
      <c r="K42" s="91">
        <f>[0]!r_14</f>
        <v>-0.0011666666666666663</v>
      </c>
      <c r="L42" s="92"/>
      <c r="N42" s="64">
        <f>[0]!r_37+[0]!r_31+[0]!r_25+[0]!r_19+[0]!r_88</f>
        <v>-0.0031666666666666657</v>
      </c>
      <c r="O42" s="65">
        <f>[0]!r_37+[0]!r_31+[0]!r_25+[0]!r_19+[0]!r_88</f>
        <v>-0.0031666666666666657</v>
      </c>
      <c r="P42" s="62">
        <f>[0]!r_37+[0]!r_31+[0]!r_25+[0]!r_19+[0]!r_10</f>
        <v>0.0006666666666666678</v>
      </c>
      <c r="Q42" s="63">
        <f>[0]!r_37+[0]!r_31+[0]!r_25+[0]!r_19+[0]!r_10</f>
        <v>0.0006666666666666678</v>
      </c>
      <c r="R42" s="64">
        <f>[0]!r_37+[0]!r_31+[0]!r_25+[0]!r_15</f>
        <v>-0.007333333333333332</v>
      </c>
      <c r="S42" s="65">
        <f>[0]!r_37+[0]!r_31+[0]!r_25+[0]!r_15</f>
        <v>-0.007333333333333332</v>
      </c>
      <c r="T42" s="62">
        <f>[0]!r_37+[0]!r_31+[0]!r_20+[0]!r_11</f>
        <v>-0.007833333333333333</v>
      </c>
      <c r="U42" s="63">
        <f>[0]!r_37+[0]!r_31+[0]!r_20+[0]!r_11</f>
        <v>-0.007833333333333333</v>
      </c>
      <c r="V42" s="64">
        <f>[0]!r_37+[0]!r_26+[0]!r_16</f>
        <v>-0.005</v>
      </c>
      <c r="W42" s="65">
        <f>[0]!r_37+[0]!r_26+[0]!r_16</f>
        <v>-0.005</v>
      </c>
      <c r="X42" s="62">
        <f>[0]!r_21+[0]!r_32+[0]!r_12</f>
        <v>-0.015000000000000003</v>
      </c>
      <c r="Y42" s="63">
        <f>[0]!r_21+[0]!r_32+[0]!r_12</f>
        <v>-0.015000000000000003</v>
      </c>
      <c r="Z42" s="64">
        <f>[0]!r_38+[0]!r_27+[0]!r_17</f>
        <v>-0.01566666666666667</v>
      </c>
      <c r="AA42" s="65">
        <f>[0]!r_38+[0]!r_27+[0]!r_17</f>
        <v>-0.01566666666666667</v>
      </c>
      <c r="AB42" s="62">
        <f>[0]!r_38+[0]!r_33+[0]!r_22+[0]!r_13</f>
        <v>-0.010333333333333333</v>
      </c>
      <c r="AC42" s="63">
        <f>[0]!r_38+[0]!r_33+[0]!r_22+[0]!r_13</f>
        <v>-0.010333333333333333</v>
      </c>
      <c r="AD42" s="64">
        <f>[0]!r_38+[0]!r_33+[0]!r_28+[0]!r_18</f>
        <v>-0.014166666666666668</v>
      </c>
      <c r="AE42" s="65">
        <f>[0]!r_38+[0]!r_33+[0]!r_28+[0]!r_18</f>
        <v>-0.014166666666666668</v>
      </c>
      <c r="AF42" s="62">
        <f>[0]!r_38+[0]!r_33+[0]!r_28+[0]!r_23+[0]!r_14</f>
        <v>-0.012833333333333334</v>
      </c>
      <c r="AG42" s="63">
        <f>[0]!r_38+[0]!r_33+[0]!r_28+[0]!r_23+[0]!r_14</f>
        <v>-0.012833333333333334</v>
      </c>
      <c r="AH42" s="70">
        <f>[0]!r_38+[0]!r_33+[0]!r_28+[0]!r_23+[0]!r_90</f>
        <v>-0.007666666666666667</v>
      </c>
      <c r="AI42" s="65">
        <f>[0]!r_38+[0]!r_33+[0]!r_28+[0]!r_23+[0]!r_90</f>
        <v>-0.007666666666666667</v>
      </c>
    </row>
    <row r="43" spans="2:35" ht="12.75">
      <c r="B43" s="60"/>
      <c r="C43" s="92"/>
      <c r="D43" s="91">
        <f>[0]!r_6</f>
        <v>0.0018333333333333333</v>
      </c>
      <c r="E43" s="92"/>
      <c r="F43" s="91">
        <f>[0]!r_7</f>
        <v>-0.004333333333333333</v>
      </c>
      <c r="G43" s="92"/>
      <c r="H43" s="91">
        <f>[0]!r_8</f>
        <v>-0.004500000000000002</v>
      </c>
      <c r="I43" s="92"/>
      <c r="J43" s="91">
        <f>[0]!r_9</f>
        <v>0.0185</v>
      </c>
      <c r="K43" s="92"/>
      <c r="L43" s="60"/>
      <c r="N43" s="61"/>
      <c r="O43" s="61"/>
      <c r="P43" s="64">
        <f>[0]!r_37+[0]!r_31+[0]!r_25+[0]!r_19+[0]!r_10</f>
        <v>0.0006666666666666678</v>
      </c>
      <c r="Q43" s="65">
        <f>[0]!r_37+[0]!r_31+[0]!r_25+[0]!r_19+[0]!r_10</f>
        <v>0.0006666666666666678</v>
      </c>
      <c r="R43" s="62">
        <f>[0]!r_37+[0]!r_31+[0]!r_25+[0]!r_15+[0]!r_6</f>
        <v>-0.005499999999999999</v>
      </c>
      <c r="S43" s="63">
        <f>[0]!r_37+[0]!r_31+[0]!r_25+[0]!r_15+[0]!r_6</f>
        <v>-0.005499999999999999</v>
      </c>
      <c r="T43" s="64">
        <f>[0]!r_37+[0]!r_31+[0]!r_20+[0]!r_11</f>
        <v>-0.007833333333333333</v>
      </c>
      <c r="U43" s="65">
        <f>[0]!r_37+[0]!r_31+[0]!r_20+[0]!r_11</f>
        <v>-0.007833333333333333</v>
      </c>
      <c r="V43" s="62">
        <f>[0]!r_37+[0]!r_26+[0]!r_16+[0]!r_7</f>
        <v>-0.009333333333333332</v>
      </c>
      <c r="W43" s="63">
        <f>[0]!r_37+[0]!r_26+[0]!r_16+[0]!r_7</f>
        <v>-0.009333333333333332</v>
      </c>
      <c r="X43" s="64">
        <f>[0]!r_21+[0]!r_32+[0]!r_12</f>
        <v>-0.015000000000000003</v>
      </c>
      <c r="Y43" s="65">
        <f>[0]!r_21+[0]!r_32+[0]!r_12</f>
        <v>-0.015000000000000003</v>
      </c>
      <c r="Z43" s="62">
        <f>[0]!r_38+[0]!r_27+[0]!r_17+[0]!r_8</f>
        <v>-0.020166666666666673</v>
      </c>
      <c r="AA43" s="63">
        <f>[0]!r_38+[0]!r_27+[0]!r_17+[0]!r_8</f>
        <v>-0.020166666666666673</v>
      </c>
      <c r="AB43" s="64">
        <f>[0]!r_38+[0]!r_33+[0]!r_22+[0]!r_13</f>
        <v>-0.010333333333333333</v>
      </c>
      <c r="AC43" s="65">
        <f>[0]!r_38+[0]!r_33+[0]!r_22+[0]!r_13</f>
        <v>-0.010333333333333333</v>
      </c>
      <c r="AD43" s="62">
        <f>[0]!r_38+[0]!r_33+[0]!r_28+[0]!r_18+[0]!r_9</f>
        <v>0.004333333333333331</v>
      </c>
      <c r="AE43" s="63">
        <f>[0]!r_38+[0]!r_33+[0]!r_28+[0]!r_18+[0]!r_9</f>
        <v>0.004333333333333331</v>
      </c>
      <c r="AF43" s="64">
        <f>[0]!r_38+[0]!r_33+[0]!r_28+[0]!r_23+[0]!r_14</f>
        <v>-0.012833333333333334</v>
      </c>
      <c r="AG43" s="65">
        <f>[0]!r_38+[0]!r_33+[0]!r_28+[0]!r_23+[0]!r_14</f>
        <v>-0.012833333333333334</v>
      </c>
      <c r="AH43" s="67"/>
      <c r="AI43" s="61"/>
    </row>
    <row r="44" spans="2:35" ht="12.75">
      <c r="B44" s="60"/>
      <c r="C44" s="60"/>
      <c r="D44" s="92"/>
      <c r="E44" s="91">
        <f>[0]!r_3</f>
        <v>0.006833333333333334</v>
      </c>
      <c r="F44" s="92"/>
      <c r="G44" s="91">
        <f>[0]!r_4</f>
        <v>0.006833333333333334</v>
      </c>
      <c r="H44" s="92"/>
      <c r="I44" s="91">
        <f>[0]!r_5</f>
        <v>0.0004999999999999996</v>
      </c>
      <c r="J44" s="92"/>
      <c r="K44" s="60"/>
      <c r="L44" s="60"/>
      <c r="N44" s="61"/>
      <c r="O44" s="61"/>
      <c r="P44" s="61"/>
      <c r="Q44" s="73"/>
      <c r="R44" s="64">
        <f>[0]!r_37+[0]!r_31+[0]!r_25+[0]!r_15+[0]!r_6</f>
        <v>-0.005499999999999999</v>
      </c>
      <c r="S44" s="65">
        <f>[0]!r_37+[0]!r_31+[0]!r_25+[0]!r_15+[0]!r_6</f>
        <v>-0.005499999999999999</v>
      </c>
      <c r="T44" s="62">
        <f>[0]!r_37+[0]!r_31+[0]!r_20+[0]!r_11+[0]!r_3</f>
        <v>-0.0009999999999999992</v>
      </c>
      <c r="U44" s="63">
        <f>[0]!r_37+[0]!r_31+[0]!r_20+[0]!r_11+[0]!r_3</f>
        <v>-0.0009999999999999992</v>
      </c>
      <c r="V44" s="64">
        <f>[0]!r_37+[0]!r_26+[0]!r_16+[0]!r_7</f>
        <v>-0.009333333333333332</v>
      </c>
      <c r="W44" s="65">
        <f>[0]!r_37+[0]!r_26+[0]!r_16+[0]!r_7</f>
        <v>-0.009333333333333332</v>
      </c>
      <c r="X44" s="62">
        <f>[0]!r_21+[0]!r_32+[0]!r_12+[0]!r_4</f>
        <v>-0.00816666666666667</v>
      </c>
      <c r="Y44" s="63">
        <f>[0]!r_21+[0]!r_32+[0]!r_12+[0]!r_4</f>
        <v>-0.00816666666666667</v>
      </c>
      <c r="Z44" s="64">
        <f>[0]!r_38+[0]!r_27+[0]!r_17+[0]!r_8</f>
        <v>-0.020166666666666673</v>
      </c>
      <c r="AA44" s="65">
        <f>[0]!r_38+[0]!r_27+[0]!r_17+[0]!r_8</f>
        <v>-0.020166666666666673</v>
      </c>
      <c r="AB44" s="62">
        <f>[0]!r_38+[0]!r_33+[0]!r_22+[0]!r_13+[0]!r_5</f>
        <v>-0.009833333333333333</v>
      </c>
      <c r="AC44" s="63">
        <f>[0]!r_38+[0]!r_33+[0]!r_22+[0]!r_13+[0]!r_5</f>
        <v>-0.009833333333333333</v>
      </c>
      <c r="AD44" s="64">
        <f>[0]!r_38+[0]!r_33+[0]!r_28+[0]!r_18+[0]!r_9</f>
        <v>0.004333333333333331</v>
      </c>
      <c r="AE44" s="65">
        <f>[0]!r_38+[0]!r_33+[0]!r_28+[0]!r_18+[0]!r_9</f>
        <v>0.004333333333333331</v>
      </c>
      <c r="AF44" s="61"/>
      <c r="AG44" s="61"/>
      <c r="AH44" s="61"/>
      <c r="AI44" s="61"/>
    </row>
    <row r="45" spans="2:35" ht="12.75">
      <c r="B45" s="60"/>
      <c r="C45" s="60"/>
      <c r="D45" s="60"/>
      <c r="E45" s="92"/>
      <c r="F45" s="91">
        <f>[0]!r_1</f>
        <v>0.008</v>
      </c>
      <c r="G45" s="92"/>
      <c r="H45" s="91">
        <f>[0]!r_2</f>
        <v>-0.0013333333333333333</v>
      </c>
      <c r="I45" s="92"/>
      <c r="J45" s="60"/>
      <c r="K45" s="60"/>
      <c r="L45" s="60"/>
      <c r="N45" s="61"/>
      <c r="O45" s="61"/>
      <c r="P45" s="61"/>
      <c r="Q45" s="61"/>
      <c r="R45" s="61"/>
      <c r="S45" s="61"/>
      <c r="T45" s="64">
        <f>[0]!r_37+[0]!r_31+[0]!r_20+[0]!r_11+[0]!r_3</f>
        <v>-0.0009999999999999992</v>
      </c>
      <c r="U45" s="65">
        <f>[0]!r_37+[0]!r_31+[0]!r_20+[0]!r_11+[0]!r_3</f>
        <v>-0.0009999999999999992</v>
      </c>
      <c r="V45" s="62">
        <f>[0]!r_37+[0]!r_26+[0]!r_16+[0]!r_7+[0]!r_1</f>
        <v>-0.0013333333333333322</v>
      </c>
      <c r="W45" s="63">
        <f>[0]!r_37+[0]!r_26+[0]!r_16+[0]!r_7+[0]!r_1</f>
        <v>-0.0013333333333333322</v>
      </c>
      <c r="X45" s="64">
        <f>[0]!r_21+[0]!r_32+[0]!r_12+[0]!r_4</f>
        <v>-0.00816666666666667</v>
      </c>
      <c r="Y45" s="65">
        <f>[0]!r_21+[0]!r_32+[0]!r_12+[0]!r_4</f>
        <v>-0.00816666666666667</v>
      </c>
      <c r="Z45" s="62">
        <f>[0]!r_38+[0]!r_27+[0]!r_17+[0]!r_8+[0]!r_2</f>
        <v>-0.021500000000000005</v>
      </c>
      <c r="AA45" s="63">
        <f>[0]!r_38+[0]!r_27+[0]!r_17+[0]!r_8+[0]!r_2</f>
        <v>-0.021500000000000005</v>
      </c>
      <c r="AB45" s="64">
        <f>[0]!r_38+[0]!r_33+[0]!r_22+[0]!r_13+[0]!r_5</f>
        <v>-0.009833333333333333</v>
      </c>
      <c r="AC45" s="65">
        <f>[0]!r_38+[0]!r_33+[0]!r_22+[0]!r_13+[0]!r_5</f>
        <v>-0.009833333333333333</v>
      </c>
      <c r="AD45" s="61"/>
      <c r="AE45" s="61"/>
      <c r="AF45" s="61"/>
      <c r="AG45" s="61"/>
      <c r="AH45" s="61"/>
      <c r="AI45" s="61"/>
    </row>
    <row r="46" spans="2:35" ht="12.75">
      <c r="B46" s="60"/>
      <c r="C46" s="60"/>
      <c r="D46" s="60"/>
      <c r="E46" s="60"/>
      <c r="F46" s="92"/>
      <c r="G46" s="91">
        <f>[0]!r_89</f>
        <v>-8.673617379884035E-19</v>
      </c>
      <c r="H46" s="92"/>
      <c r="I46" s="60"/>
      <c r="J46" s="60"/>
      <c r="K46" s="60"/>
      <c r="L46" s="60"/>
      <c r="N46" s="61"/>
      <c r="O46" s="61"/>
      <c r="P46" s="61"/>
      <c r="Q46" s="61"/>
      <c r="R46" s="61"/>
      <c r="S46" s="61"/>
      <c r="T46" s="61"/>
      <c r="U46" s="61"/>
      <c r="V46" s="64">
        <f>[0]!r_37+[0]!r_26+[0]!r_16+[0]!r_7+[0]!r_1</f>
        <v>-0.0013333333333333322</v>
      </c>
      <c r="W46" s="65">
        <f>[0]!r_37+[0]!r_26+[0]!r_16+[0]!r_7+[0]!r_1</f>
        <v>-0.0013333333333333322</v>
      </c>
      <c r="X46" s="62">
        <f>[0]!r_21+[0]!r_32+[0]!r_12+[0]!r_4+[0]!r_89</f>
        <v>-0.00816666666666667</v>
      </c>
      <c r="Y46" s="63">
        <f>[0]!r_21+[0]!r_32+[0]!r_12+[0]!r_4+[0]!r_89</f>
        <v>-0.00816666666666667</v>
      </c>
      <c r="Z46" s="64">
        <f>[0]!r_38+[0]!r_27+[0]!r_17+[0]!r_8+[0]!r_2</f>
        <v>-0.021500000000000005</v>
      </c>
      <c r="AA46" s="65">
        <f>[0]!r_38+[0]!r_27+[0]!r_17+[0]!r_8+[0]!r_2</f>
        <v>-0.021500000000000005</v>
      </c>
      <c r="AB46" s="61"/>
      <c r="AC46" s="61"/>
      <c r="AD46" s="61"/>
      <c r="AE46" s="61"/>
      <c r="AF46" s="61"/>
      <c r="AG46" s="61"/>
      <c r="AH46" s="61"/>
      <c r="AI46" s="61"/>
    </row>
    <row r="47" spans="2:35" ht="12.75">
      <c r="B47" s="60"/>
      <c r="C47" s="60"/>
      <c r="D47" s="60"/>
      <c r="E47" s="60"/>
      <c r="F47" s="60"/>
      <c r="G47" s="92"/>
      <c r="H47" s="60"/>
      <c r="I47" s="60"/>
      <c r="J47" s="60"/>
      <c r="K47" s="60"/>
      <c r="L47" s="60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4">
        <f>[0]!r_21+[0]!r_32+[0]!r_12+[0]!r_4+[0]!r_89</f>
        <v>-0.00816666666666667</v>
      </c>
      <c r="Y47" s="65">
        <f>[0]!r_21+[0]!r_32+[0]!r_12+[0]!r_4+[0]!r_89</f>
        <v>-0.00816666666666667</v>
      </c>
      <c r="Z47" s="61"/>
      <c r="AA47" s="61"/>
      <c r="AB47" s="61"/>
      <c r="AC47" s="61"/>
      <c r="AD47" s="61"/>
      <c r="AE47" s="61"/>
      <c r="AF47" s="61"/>
      <c r="AG47" s="61"/>
      <c r="AH47" s="61"/>
      <c r="AI47" s="61"/>
    </row>
  </sheetData>
  <mergeCells count="182">
    <mergeCell ref="G2:G3"/>
    <mergeCell ref="F3:F4"/>
    <mergeCell ref="H3:H4"/>
    <mergeCell ref="E4:E5"/>
    <mergeCell ref="G4:G5"/>
    <mergeCell ref="I6:I7"/>
    <mergeCell ref="I4:I5"/>
    <mergeCell ref="D5:D6"/>
    <mergeCell ref="F5:F6"/>
    <mergeCell ref="H5:H6"/>
    <mergeCell ref="K6:K7"/>
    <mergeCell ref="B7:B8"/>
    <mergeCell ref="D7:D8"/>
    <mergeCell ref="F7:F8"/>
    <mergeCell ref="H7:H8"/>
    <mergeCell ref="J7:J8"/>
    <mergeCell ref="J5:J6"/>
    <mergeCell ref="C6:C7"/>
    <mergeCell ref="E6:E7"/>
    <mergeCell ref="G6:G7"/>
    <mergeCell ref="L7:L8"/>
    <mergeCell ref="C8:C9"/>
    <mergeCell ref="E8:E9"/>
    <mergeCell ref="G8:G9"/>
    <mergeCell ref="I8:I9"/>
    <mergeCell ref="K8:K9"/>
    <mergeCell ref="J9:J10"/>
    <mergeCell ref="L9:L10"/>
    <mergeCell ref="I10:I11"/>
    <mergeCell ref="K10:K11"/>
    <mergeCell ref="B9:B10"/>
    <mergeCell ref="D9:D10"/>
    <mergeCell ref="F9:F10"/>
    <mergeCell ref="H9:H10"/>
    <mergeCell ref="C10:C11"/>
    <mergeCell ref="E10:E11"/>
    <mergeCell ref="G10:G11"/>
    <mergeCell ref="B11:B12"/>
    <mergeCell ref="D11:D12"/>
    <mergeCell ref="F11:F12"/>
    <mergeCell ref="H11:H12"/>
    <mergeCell ref="J11:J12"/>
    <mergeCell ref="L11:L12"/>
    <mergeCell ref="C12:C13"/>
    <mergeCell ref="E12:E13"/>
    <mergeCell ref="G12:G13"/>
    <mergeCell ref="I12:I13"/>
    <mergeCell ref="K12:K13"/>
    <mergeCell ref="J13:J14"/>
    <mergeCell ref="L13:L14"/>
    <mergeCell ref="H13:H14"/>
    <mergeCell ref="C14:C15"/>
    <mergeCell ref="E14:E15"/>
    <mergeCell ref="G14:G15"/>
    <mergeCell ref="I14:I15"/>
    <mergeCell ref="K14:K15"/>
    <mergeCell ref="B15:B16"/>
    <mergeCell ref="D15:D16"/>
    <mergeCell ref="F15:F16"/>
    <mergeCell ref="H15:H16"/>
    <mergeCell ref="J15:J16"/>
    <mergeCell ref="B13:B14"/>
    <mergeCell ref="D13:D14"/>
    <mergeCell ref="F13:F14"/>
    <mergeCell ref="L15:L16"/>
    <mergeCell ref="C16:C17"/>
    <mergeCell ref="E16:E17"/>
    <mergeCell ref="G16:G17"/>
    <mergeCell ref="I16:I17"/>
    <mergeCell ref="K16:K17"/>
    <mergeCell ref="J17:J18"/>
    <mergeCell ref="L17:L18"/>
    <mergeCell ref="I18:I19"/>
    <mergeCell ref="K18:K19"/>
    <mergeCell ref="B17:B18"/>
    <mergeCell ref="D17:D18"/>
    <mergeCell ref="F17:F18"/>
    <mergeCell ref="H17:H18"/>
    <mergeCell ref="C18:C19"/>
    <mergeCell ref="E18:E19"/>
    <mergeCell ref="G18:G19"/>
    <mergeCell ref="D19:D20"/>
    <mergeCell ref="F19:F20"/>
    <mergeCell ref="H19:H20"/>
    <mergeCell ref="J19:J20"/>
    <mergeCell ref="E20:E21"/>
    <mergeCell ref="G20:G21"/>
    <mergeCell ref="I20:I21"/>
    <mergeCell ref="F21:F22"/>
    <mergeCell ref="H21:H22"/>
    <mergeCell ref="G22:G23"/>
    <mergeCell ref="I34:I35"/>
    <mergeCell ref="I32:I33"/>
    <mergeCell ref="D33:D34"/>
    <mergeCell ref="F33:F34"/>
    <mergeCell ref="H33:H34"/>
    <mergeCell ref="F31:F32"/>
    <mergeCell ref="H31:H32"/>
    <mergeCell ref="E32:E33"/>
    <mergeCell ref="G32:G33"/>
    <mergeCell ref="I30:I31"/>
    <mergeCell ref="K34:K35"/>
    <mergeCell ref="B35:B36"/>
    <mergeCell ref="D35:D36"/>
    <mergeCell ref="F35:F36"/>
    <mergeCell ref="H35:H36"/>
    <mergeCell ref="J35:J36"/>
    <mergeCell ref="J33:J34"/>
    <mergeCell ref="C34:C35"/>
    <mergeCell ref="E34:E35"/>
    <mergeCell ref="G34:G35"/>
    <mergeCell ref="L35:L36"/>
    <mergeCell ref="C36:C37"/>
    <mergeCell ref="E36:E37"/>
    <mergeCell ref="G36:G37"/>
    <mergeCell ref="I36:I37"/>
    <mergeCell ref="K36:K37"/>
    <mergeCell ref="J37:J38"/>
    <mergeCell ref="L37:L38"/>
    <mergeCell ref="I38:I39"/>
    <mergeCell ref="K38:K39"/>
    <mergeCell ref="B37:B38"/>
    <mergeCell ref="D37:D38"/>
    <mergeCell ref="F37:F38"/>
    <mergeCell ref="H37:H38"/>
    <mergeCell ref="C38:C39"/>
    <mergeCell ref="E38:E39"/>
    <mergeCell ref="G38:G39"/>
    <mergeCell ref="B39:B40"/>
    <mergeCell ref="D39:D40"/>
    <mergeCell ref="F39:F40"/>
    <mergeCell ref="H39:H40"/>
    <mergeCell ref="J39:J40"/>
    <mergeCell ref="L39:L40"/>
    <mergeCell ref="C40:C41"/>
    <mergeCell ref="E40:E41"/>
    <mergeCell ref="G40:G41"/>
    <mergeCell ref="I40:I41"/>
    <mergeCell ref="K40:K41"/>
    <mergeCell ref="J41:J42"/>
    <mergeCell ref="L41:L42"/>
    <mergeCell ref="B41:B42"/>
    <mergeCell ref="D41:D42"/>
    <mergeCell ref="F41:F42"/>
    <mergeCell ref="H41:H42"/>
    <mergeCell ref="C42:C43"/>
    <mergeCell ref="E42:E43"/>
    <mergeCell ref="G42:G43"/>
    <mergeCell ref="I44:I45"/>
    <mergeCell ref="I42:I43"/>
    <mergeCell ref="K42:K43"/>
    <mergeCell ref="D43:D44"/>
    <mergeCell ref="F43:F44"/>
    <mergeCell ref="H43:H44"/>
    <mergeCell ref="J43:J44"/>
    <mergeCell ref="F45:F46"/>
    <mergeCell ref="H45:H46"/>
    <mergeCell ref="G46:G47"/>
    <mergeCell ref="C30:C31"/>
    <mergeCell ref="E30:E31"/>
    <mergeCell ref="E44:E45"/>
    <mergeCell ref="G44:G45"/>
    <mergeCell ref="I28:I29"/>
    <mergeCell ref="D29:D30"/>
    <mergeCell ref="F29:F30"/>
    <mergeCell ref="H29:H30"/>
    <mergeCell ref="G30:G31"/>
    <mergeCell ref="H27:H28"/>
    <mergeCell ref="E28:E29"/>
    <mergeCell ref="G28:G29"/>
    <mergeCell ref="G26:G27"/>
    <mergeCell ref="F27:F28"/>
    <mergeCell ref="L31:L32"/>
    <mergeCell ref="C32:C33"/>
    <mergeCell ref="K32:K33"/>
    <mergeCell ref="B33:B34"/>
    <mergeCell ref="L33:L34"/>
    <mergeCell ref="K30:K31"/>
    <mergeCell ref="B31:B32"/>
    <mergeCell ref="D31:D32"/>
    <mergeCell ref="J31:J32"/>
    <mergeCell ref="J29:J3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McDonald Observatory</cp:lastModifiedBy>
  <dcterms:created xsi:type="dcterms:W3CDTF">2002-08-08T19:47:45Z</dcterms:created>
  <dcterms:modified xsi:type="dcterms:W3CDTF">2003-08-26T21:31:47Z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1651560603</vt:i4>
  </property>
  <property fmtid="{D5CDD505-2E9C-101B-9397-08002B2CF9AE}" pid="4" name="_EmailSubje">
    <vt:lpwstr>piston spreadsheet</vt:lpwstr>
  </property>
  <property fmtid="{D5CDD505-2E9C-101B-9397-08002B2CF9AE}" pid="5" name="_AuthorEma">
    <vt:lpwstr>gdamm@astro.as.utexas.edu</vt:lpwstr>
  </property>
  <property fmtid="{D5CDD505-2E9C-101B-9397-08002B2CF9AE}" pid="6" name="_AuthorEmailDisplayNa">
    <vt:lpwstr>George Damm</vt:lpwstr>
  </property>
</Properties>
</file>